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g4fcombr.sharepoint.com/sites/NuvemDiretoriaDeVendasENovosNegocios/Documentos Compartilhados/GVG/01 - Licitações/2024/Ministérios/MEC/FNDE/PE 900132024/07-Recurso/1- Recurso/"/>
    </mc:Choice>
  </mc:AlternateContent>
  <xr:revisionPtr revIDLastSave="51" documentId="13_ncr:1_{746331FB-DC26-46ED-B666-5B8E64E65C49}" xr6:coauthVersionLast="47" xr6:coauthVersionMax="47" xr10:uidLastSave="{91BA6CB6-F5B6-4FF6-8C52-A9B272A7072F}"/>
  <bookViews>
    <workbookView xWindow="-108" yWindow="-108" windowWidth="23256" windowHeight="12456" tabRatio="756" firstSheet="3" activeTab="4" xr2:uid="{00000000-000D-0000-FFFF-FFFF00000000}"/>
  </bookViews>
  <sheets>
    <sheet name="Custos" sheetId="184" state="hidden" r:id="rId1"/>
    <sheet name="Mod Por 6432" sheetId="164" state="hidden" r:id="rId2"/>
    <sheet name="Banco Informações" sheetId="120" state="hidden" r:id="rId3"/>
    <sheet name="Proposta" sheetId="209" r:id="rId4"/>
    <sheet name="1" sheetId="13" r:id="rId5"/>
    <sheet name="2" sheetId="304" r:id="rId6"/>
    <sheet name="3" sheetId="305" r:id="rId7"/>
    <sheet name="4" sheetId="306" r:id="rId8"/>
    <sheet name="5" sheetId="307" r:id="rId9"/>
    <sheet name="6" sheetId="308" r:id="rId10"/>
    <sheet name="7" sheetId="309" r:id="rId11"/>
    <sheet name="8" sheetId="310" r:id="rId12"/>
    <sheet name="9" sheetId="311" r:id="rId13"/>
    <sheet name="10" sheetId="312" r:id="rId14"/>
    <sheet name="11" sheetId="313" r:id="rId15"/>
    <sheet name="Item 1" sheetId="210" state="hidden" r:id="rId16"/>
    <sheet name="Item 2" sheetId="248" state="hidden" r:id="rId17"/>
    <sheet name="Item 2.1" sheetId="266" state="hidden" r:id="rId18"/>
    <sheet name="Item 3" sheetId="249" state="hidden" r:id="rId19"/>
    <sheet name="Proposta_1" sheetId="314" state="hidden" r:id="rId20"/>
  </sheets>
  <definedNames>
    <definedName name="_1">#REF!</definedName>
    <definedName name="_10">#REF!</definedName>
    <definedName name="_11">#REF!</definedName>
    <definedName name="_12">#REF!</definedName>
    <definedName name="_13">#REF!</definedName>
    <definedName name="_14">#REF!</definedName>
    <definedName name="_15">#REF!</definedName>
    <definedName name="_16">#REF!</definedName>
    <definedName name="_17">#REF!</definedName>
    <definedName name="_18">#REF!</definedName>
    <definedName name="_19">#REF!</definedName>
    <definedName name="_2">#REF!</definedName>
    <definedName name="_20">#REF!</definedName>
    <definedName name="_21">#REF!</definedName>
    <definedName name="_22">#REF!</definedName>
    <definedName name="_23">#REF!</definedName>
    <definedName name="_24">#REF!</definedName>
    <definedName name="_25">#REF!</definedName>
    <definedName name="_26">#REF!</definedName>
    <definedName name="_27">#REF!</definedName>
    <definedName name="_28">#REF!</definedName>
    <definedName name="_29">#REF!</definedName>
    <definedName name="_3">#REF!</definedName>
    <definedName name="_30">#REF!</definedName>
    <definedName name="_31">#REF!</definedName>
    <definedName name="_32">#REF!</definedName>
    <definedName name="_33">#REF!</definedName>
    <definedName name="_34">#REF!</definedName>
    <definedName name="_35">#REF!</definedName>
    <definedName name="_36">#REF!</definedName>
    <definedName name="_37">#REF!</definedName>
    <definedName name="_38">#REF!</definedName>
    <definedName name="_39">#REF!</definedName>
    <definedName name="_4">#REF!</definedName>
    <definedName name="_40">#REF!</definedName>
    <definedName name="_41">#REF!</definedName>
    <definedName name="_42">#REF!</definedName>
    <definedName name="_43">#REF!</definedName>
    <definedName name="_44">#REF!</definedName>
    <definedName name="_45">#REF!</definedName>
    <definedName name="_46">#REF!</definedName>
    <definedName name="_47">#REF!</definedName>
    <definedName name="_48">#REF!</definedName>
    <definedName name="_49">#REF!</definedName>
    <definedName name="_5">#REF!</definedName>
    <definedName name="_50">#REF!</definedName>
    <definedName name="_51">#REF!</definedName>
    <definedName name="_52">#REF!</definedName>
    <definedName name="_53">#REF!</definedName>
    <definedName name="_54">#REF!</definedName>
    <definedName name="_55">#REF!</definedName>
    <definedName name="_56">#REF!</definedName>
    <definedName name="_57">#REF!</definedName>
    <definedName name="_58">#REF!</definedName>
    <definedName name="_59">#REF!</definedName>
    <definedName name="_6">#REF!</definedName>
    <definedName name="_60">#REF!</definedName>
    <definedName name="_61">#REF!</definedName>
    <definedName name="_62">#REF!</definedName>
    <definedName name="_63">#REF!</definedName>
    <definedName name="_64">#REF!</definedName>
    <definedName name="_65">#REF!</definedName>
    <definedName name="_66">#REF!</definedName>
    <definedName name="_67">#REF!</definedName>
    <definedName name="_68">#REF!</definedName>
    <definedName name="_69">#REF!</definedName>
    <definedName name="_7">#REF!</definedName>
    <definedName name="_70">#REF!</definedName>
    <definedName name="_71">#REF!</definedName>
    <definedName name="_73">#REF!</definedName>
    <definedName name="_74">#REF!</definedName>
    <definedName name="_75">#REF!</definedName>
    <definedName name="_76">#REF!</definedName>
    <definedName name="_77">#REF!</definedName>
    <definedName name="_78">#REF!</definedName>
    <definedName name="_79">#REF!</definedName>
    <definedName name="_8">#REF!</definedName>
    <definedName name="_80">#REF!</definedName>
    <definedName name="_81">#REF!</definedName>
    <definedName name="_82">#REF!</definedName>
    <definedName name="_9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arse_Out" hidden="1">#REF!</definedName>
    <definedName name="_Sort" hidden="1">#REF!</definedName>
    <definedName name="aa" hidden="1">#REF!</definedName>
    <definedName name="aaaaa" hidden="1">#REF!</definedName>
    <definedName name="AEMPRESA">#REF!</definedName>
    <definedName name="_xlnm.Print_Area" localSheetId="4">'1'!$A$2:$E$94</definedName>
    <definedName name="_xlnm.Print_Area" localSheetId="13">'10'!$A$2:$E$94</definedName>
    <definedName name="_xlnm.Print_Area" localSheetId="14">'11'!$A$2:$E$94</definedName>
    <definedName name="_xlnm.Print_Area" localSheetId="5">'2'!$A$2:$E$94</definedName>
    <definedName name="_xlnm.Print_Area" localSheetId="6">'3'!$A$2:$E$94</definedName>
    <definedName name="_xlnm.Print_Area" localSheetId="7">'4'!$A$2:$E$94</definedName>
    <definedName name="_xlnm.Print_Area" localSheetId="8">'5'!$A$2:$E$94</definedName>
    <definedName name="_xlnm.Print_Area" localSheetId="9">'6'!$A$2:$E$94</definedName>
    <definedName name="_xlnm.Print_Area" localSheetId="10">'7'!$A$2:$E$94</definedName>
    <definedName name="_xlnm.Print_Area" localSheetId="11">'8'!$A$2:$E$94</definedName>
    <definedName name="_xlnm.Print_Area" localSheetId="12">'9'!$A$2:$E$94</definedName>
    <definedName name="_xlnm.Print_Area" localSheetId="3">Proposta!$B$3:$J$17</definedName>
    <definedName name="_xlnm.Print_Area" localSheetId="19">Proposta_1!$D$3:$L$22</definedName>
    <definedName name="Atraso_de_Pagamento__meses">#REF!</definedName>
    <definedName name="b">#REF!</definedName>
    <definedName name="Balance_Sheet">#REF!</definedName>
    <definedName name="BANCARIA">#REF!</definedName>
    <definedName name="BaseYear">#REF!</definedName>
    <definedName name="BCF">#REF!</definedName>
    <definedName name="BCOS">#REF!</definedName>
    <definedName name="BCPX">#REF!</definedName>
    <definedName name="BEMPRESA">#REF!</definedName>
    <definedName name="BO">#REF!</definedName>
    <definedName name="BPACC">#REF!</definedName>
    <definedName name="BPL">#REF!</definedName>
    <definedName name="Bridge">#REF!</definedName>
    <definedName name="bridge3">#REF!</definedName>
    <definedName name="bridge4">#REF!</definedName>
    <definedName name="BS">#REF!</definedName>
    <definedName name="BSGA">#REF!</definedName>
    <definedName name="CAF">#REF!</definedName>
    <definedName name="CargoSalarios">#REF!</definedName>
    <definedName name="CBWorkbookPriority" hidden="1">-1706525199</definedName>
    <definedName name="CC">#REF!</definedName>
    <definedName name="cexterna">#REF!</definedName>
    <definedName name="CHEQUE">#REF!</definedName>
    <definedName name="cidade_at">#REF!</definedName>
    <definedName name="cidade_bakup_Sn">#REF!</definedName>
    <definedName name="cidade_bkp_pl">#REF!</definedName>
    <definedName name="cidade_datacenter">#REF!</definedName>
    <definedName name="cidade_db">#REF!</definedName>
    <definedName name="cidade_erp">#REF!</definedName>
    <definedName name="cidade_full">#REF!</definedName>
    <definedName name="cidade_op_pl">#REF!</definedName>
    <definedName name="cidade_op_Sn">#REF!</definedName>
    <definedName name="cidade_redes_jr">#REF!</definedName>
    <definedName name="cidade_redes_pl">#REF!</definedName>
    <definedName name="cidade_seginfo">#REF!</definedName>
    <definedName name="cidade_web_jr">#REF!</definedName>
    <definedName name="cidade_web_pl">#REF!</definedName>
    <definedName name="co">#REF!</definedName>
    <definedName name="COBRANÇA">#REF!</definedName>
    <definedName name="ComissaoComercial">#REF!</definedName>
    <definedName name="Comissões_internas">#REF!</definedName>
    <definedName name="DA">#REF!</definedName>
    <definedName name="Data">#REF!</definedName>
    <definedName name="DEPOSITO">#REF!</definedName>
    <definedName name="dsadsa">#REF!</definedName>
    <definedName name="DURAÇÃO_DO_CONTRATO">#REF!+#REF!</definedName>
    <definedName name="EImob">#REF!</definedName>
    <definedName name="EImoba">#REF!</definedName>
    <definedName name="Eint">#REF!</definedName>
    <definedName name="EInta">#REF!</definedName>
    <definedName name="flag">#REF!</definedName>
    <definedName name="GSH">#REF!</definedName>
    <definedName name="ICMS">#REF!</definedName>
    <definedName name="Idioma">#REF!</definedName>
    <definedName name="IGA">#REF!</definedName>
    <definedName name="IGB">#REF!</definedName>
    <definedName name="Imob">#REF!</definedName>
    <definedName name="Imoba">#REF!</definedName>
    <definedName name="Imposto_de_Renda">#REF!</definedName>
    <definedName name="Impostoiss">#REF!</definedName>
    <definedName name="iss">#REF!</definedName>
    <definedName name="ISSQN">#REF!</definedName>
    <definedName name="Itens" localSheetId="15">#REF!</definedName>
    <definedName name="Itens" localSheetId="16">#REF!</definedName>
    <definedName name="Itens" localSheetId="17">#REF!</definedName>
    <definedName name="Itens" localSheetId="18">#REF!</definedName>
    <definedName name="Itens" localSheetId="1">#REF!</definedName>
    <definedName name="Itens">#REF!</definedName>
    <definedName name="jurus_internos">#REF!</definedName>
    <definedName name="leasing">#REF!</definedName>
    <definedName name="Linha_soma">#REF!</definedName>
    <definedName name="Linha_Total">#REF!</definedName>
    <definedName name="m12PG">#REF!</definedName>
    <definedName name="m12Pguá">#REF!</definedName>
    <definedName name="m12SP">#REF!</definedName>
    <definedName name="m13GPI">#REF!</definedName>
    <definedName name="m13PG">#REF!</definedName>
    <definedName name="m13Pguá">#REF!</definedName>
    <definedName name="m13SP">#REF!</definedName>
    <definedName name="m14GPI">#REF!</definedName>
    <definedName name="m14PG">#REF!</definedName>
    <definedName name="m14PG1">#REF!</definedName>
    <definedName name="m14Pguá">#REF!</definedName>
    <definedName name="m14SP">#REF!</definedName>
    <definedName name="m15GPI">#REF!</definedName>
    <definedName name="m15PG">#REF!</definedName>
    <definedName name="m15Pguá">#REF!</definedName>
    <definedName name="m15SP">#REF!</definedName>
    <definedName name="m16GPI">#REF!</definedName>
    <definedName name="m16PG">#REF!</definedName>
    <definedName name="MargemContribuicao">#REF!</definedName>
    <definedName name="Moeda">#REF!</definedName>
    <definedName name="OutrosImpostos">#REF!</definedName>
    <definedName name="PAIS">#REF!</definedName>
    <definedName name="Perfis">#REF!</definedName>
    <definedName name="Personal">#REF!</definedName>
    <definedName name="Personal_Lista">OFFSET(Personal,MATCH(#REF!,Personal_Tipo,0),0,1,25)</definedName>
    <definedName name="Personal_Tipo">#REF!</definedName>
    <definedName name="PIS">#REF!</definedName>
    <definedName name="PISCOFINS">#REF!</definedName>
    <definedName name="PISCOFINSISSQN">#REF!</definedName>
    <definedName name="PRAÇA">#REF!</definedName>
    <definedName name="PrazoContrato">#REF!</definedName>
    <definedName name="PROCVC">#REF!</definedName>
    <definedName name="PROCVC1">#REF!</definedName>
    <definedName name="REGIÃO">#REF!</definedName>
    <definedName name="REGISTRO">#REF!</definedName>
    <definedName name="Results">#REF!</definedName>
    <definedName name="SA">#REF!</definedName>
    <definedName name="salesB">#REF!</definedName>
    <definedName name="selecaoparasomazzz">#REF!</definedName>
    <definedName name="Serviços">#REF!</definedName>
    <definedName name="SGA">#REF!</definedName>
    <definedName name="SHARED_FORMULA_0">#N/A</definedName>
    <definedName name="SHARED_FORMULA_0___0">#N/A</definedName>
    <definedName name="SHARED_FORMULA_0___0___0">#N/A</definedName>
    <definedName name="SHARED_FORMULA_1">#N/A</definedName>
    <definedName name="SHARED_FORMULA_1___0">#N/A</definedName>
    <definedName name="SHARED_FORMULA_1___0___0">#N/A</definedName>
    <definedName name="SHARED_FORMULA_2">#N/A</definedName>
    <definedName name="SHARED_FORMULA_2___0">#N/A</definedName>
    <definedName name="SHARED_FORMULA_2___0___0">#N/A</definedName>
    <definedName name="SHARED_FORMULA_3">#N/A</definedName>
    <definedName name="SHARED_FORMULA_3___0">#N/A</definedName>
    <definedName name="SHARED_FORMULA_3___0___0">#N/A</definedName>
    <definedName name="SHARED_FORMULA_4">#N/A</definedName>
    <definedName name="SHARED_FORMULA_4___0">#N/A</definedName>
    <definedName name="SHARED_FORMULA_4___0___0">#N/A</definedName>
    <definedName name="SHARED_FORMULA_5">#N/A</definedName>
    <definedName name="SHARED_FORMULA_5___0">#N/A</definedName>
    <definedName name="SHARED_FORMULA_5___0___0">#N/A</definedName>
    <definedName name="SHARED_FORMULA_6">#N/A</definedName>
    <definedName name="SHARED_FORMULA_6___0">#N/A</definedName>
    <definedName name="SHARED_FORMULA_7">#N/A</definedName>
    <definedName name="SHARED_FORMULA_7___0">#N/A</definedName>
    <definedName name="SOCIETE">#REF!</definedName>
    <definedName name="SREGISTRO">#REF!</definedName>
    <definedName name="sssss" hidden="1">#REF!</definedName>
    <definedName name="STK">#REF!</definedName>
    <definedName name="SWOT">#REF!</definedName>
    <definedName name="T7_S_AS_M_C4_M06">#REF!</definedName>
    <definedName name="T7_S_AS_M_C4_M07">#REF!</definedName>
    <definedName name="T7_S_AS_M_C4_M08">#REF!</definedName>
    <definedName name="T7_S_AS_M_C4_M09">#REF!</definedName>
    <definedName name="T7_S_AS_M_C4_M10">#REF!</definedName>
    <definedName name="T7_S_AS_M_C4_M11">#REF!</definedName>
    <definedName name="T7_S_AS_M_C4_M12">#REF!</definedName>
    <definedName name="T7_S_AS_M_C5_M01">#REF!</definedName>
    <definedName name="T7_S_AS_M_C5_M02">#REF!</definedName>
    <definedName name="T7_S_AS_M_C5_M03">#REF!</definedName>
    <definedName name="T7_S_AS_M_C5_M04">#REF!</definedName>
    <definedName name="T7_S_AS_M_C5_M05">#REF!</definedName>
    <definedName name="T7_S_AS_M_C5_M06">#REF!</definedName>
    <definedName name="T7_S_AS_M_C5_M07">#REF!</definedName>
    <definedName name="T7_S_AS_M_C5_M08">#REF!</definedName>
    <definedName name="T7_S_AS_M_C5_M09">#REF!</definedName>
    <definedName name="T7_S_AS_M_C5_M10">#REF!</definedName>
    <definedName name="T7_S_AS_M_C5_M11">#REF!</definedName>
    <definedName name="T7_S_AS_M_C5_M12">#REF!</definedName>
    <definedName name="T7_S_CA_M_C1_M01">#REF!</definedName>
    <definedName name="T7_S_CA_M_C1_M02">#REF!</definedName>
    <definedName name="T7_S_CA_M_C1_M03">#REF!</definedName>
    <definedName name="T7_S_CA_M_C1_M04">#REF!</definedName>
    <definedName name="T7_S_CA_M_C1_M05">#REF!</definedName>
    <definedName name="T7_S_CA_M_C1_M06">#REF!</definedName>
    <definedName name="T7_S_CA_M_C1_M07">#REF!</definedName>
    <definedName name="T7_S_CA_M_C1_M08">#REF!</definedName>
    <definedName name="T7_S_CA_M_C1_M09">#REF!</definedName>
    <definedName name="T7_S_CA_M_C1_M10">#REF!</definedName>
    <definedName name="T7_S_CA_M_C1_M11">#REF!</definedName>
    <definedName name="T7_S_CA_M_C1_M12">#REF!</definedName>
    <definedName name="T7_S_CA_M_C2_M01">#REF!</definedName>
    <definedName name="T7_S_CA_M_C2_M02">#REF!</definedName>
    <definedName name="T7_S_CA_M_C2_M03">#REF!</definedName>
    <definedName name="T7_S_CA_M_C2_M04">#REF!</definedName>
    <definedName name="T7_S_CA_M_C2_M05">#REF!</definedName>
    <definedName name="T7_S_CA_M_C2_M06">#REF!</definedName>
    <definedName name="T7_S_CA_M_C2_M07">#REF!</definedName>
    <definedName name="T7_S_CA_M_C2_M08">#REF!</definedName>
    <definedName name="T7_S_CA_M_C2_M09">#REF!</definedName>
    <definedName name="T7_S_CA_M_C2_M10">#REF!</definedName>
    <definedName name="T7_S_CA_M_C2_M11">#REF!</definedName>
    <definedName name="T7_S_CA_M_C2_M12">#REF!</definedName>
    <definedName name="T7_S_CA_M_C3_M01">#REF!</definedName>
    <definedName name="T7_S_CA_M_C3_M02">#REF!</definedName>
    <definedName name="T7_S_CA_M_C3_M03">#REF!</definedName>
    <definedName name="T7_S_CA_M_C3_M04">#REF!</definedName>
    <definedName name="T7_S_CA_M_C3_M05">#REF!</definedName>
    <definedName name="T7_S_CA_M_C3_M06">#REF!</definedName>
    <definedName name="T7_S_CA_M_C3_M07">#REF!</definedName>
    <definedName name="T7_S_CA_M_C3_M08">#REF!</definedName>
    <definedName name="T7_S_CA_M_C3_M09">#REF!</definedName>
    <definedName name="T7_S_CA_M_C3_M10">#REF!</definedName>
    <definedName name="T7_S_CA_M_C3_M11">#REF!</definedName>
    <definedName name="T7_S_CA_M_C3_M12">#REF!</definedName>
    <definedName name="T7_S_CA_M_C4_M01">#REF!</definedName>
    <definedName name="TABELA_PA_12X6">#REF!</definedName>
    <definedName name="tabela15">#REF!</definedName>
    <definedName name="tabelahe">#REF!</definedName>
    <definedName name="Taxa_Comercial">#REF!</definedName>
    <definedName name="TaxaAdm">#REF!</definedName>
    <definedName name="TIPO_CONTRATAÇÃO">#REF!</definedName>
    <definedName name="tipo_de_contratação">#REF!</definedName>
    <definedName name="TIPO_DO_CERTAME">#REF!</definedName>
    <definedName name="total_at">#REF!</definedName>
    <definedName name="total_bd">#REF!</definedName>
    <definedName name="total_bkp_pl">#REF!</definedName>
    <definedName name="total_bkp_Sn">#REF!</definedName>
    <definedName name="total_datacenter">#REF!</definedName>
    <definedName name="total_erp">#REF!</definedName>
    <definedName name="total_full">#REF!</definedName>
    <definedName name="total_op_pl">#REF!</definedName>
    <definedName name="total_op_Sn">#REF!</definedName>
    <definedName name="total_redes_jr">#REF!</definedName>
    <definedName name="total_redes_pl">#REF!</definedName>
    <definedName name="total_seginfo">#REF!</definedName>
    <definedName name="total_web_jr">#REF!</definedName>
    <definedName name="total_web_pl">#REF!</definedName>
    <definedName name="TxAdmCorporativa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305" l="1"/>
  <c r="D84" i="305"/>
  <c r="D84" i="306"/>
  <c r="D84" i="307"/>
  <c r="D84" i="308"/>
  <c r="D84" i="309"/>
  <c r="D84" i="310"/>
  <c r="D84" i="311"/>
  <c r="D84" i="312"/>
  <c r="D84" i="313"/>
  <c r="D84" i="304"/>
  <c r="K56" i="304"/>
  <c r="K56" i="305"/>
  <c r="K56" i="306"/>
  <c r="K56" i="307"/>
  <c r="K56" i="308"/>
  <c r="K56" i="13"/>
  <c r="K55" i="304"/>
  <c r="K55" i="305"/>
  <c r="K55" i="306"/>
  <c r="K55" i="307"/>
  <c r="K55" i="308"/>
  <c r="K55" i="13"/>
  <c r="K54" i="304"/>
  <c r="K54" i="305"/>
  <c r="K54" i="306"/>
  <c r="K54" i="307"/>
  <c r="K54" i="308"/>
  <c r="K54" i="13"/>
  <c r="D83" i="313"/>
  <c r="D83" i="312"/>
  <c r="D83" i="311"/>
  <c r="D83" i="310"/>
  <c r="D83" i="309"/>
  <c r="D83" i="308"/>
  <c r="D83" i="307"/>
  <c r="D83" i="306"/>
  <c r="D83" i="305"/>
  <c r="D83" i="304"/>
  <c r="D43" i="304"/>
  <c r="D43" i="305"/>
  <c r="D43" i="306"/>
  <c r="D43" i="307"/>
  <c r="D43" i="308"/>
  <c r="D43" i="309"/>
  <c r="D43" i="310"/>
  <c r="D43" i="311"/>
  <c r="D43" i="312"/>
  <c r="D43" i="313"/>
  <c r="D43" i="13"/>
  <c r="Q17" i="209"/>
  <c r="D31" i="313"/>
  <c r="D31" i="304"/>
  <c r="D32" i="304" s="1"/>
  <c r="D33" i="304" s="1"/>
  <c r="D31" i="305"/>
  <c r="D32" i="305" s="1"/>
  <c r="D31" i="306"/>
  <c r="D32" i="306" s="1"/>
  <c r="D33" i="306" s="1"/>
  <c r="D31" i="307"/>
  <c r="D32" i="307" s="1"/>
  <c r="D33" i="307" s="1"/>
  <c r="D31" i="308"/>
  <c r="D31" i="309"/>
  <c r="D31" i="310"/>
  <c r="D31" i="311"/>
  <c r="D31" i="312"/>
  <c r="D32" i="312" s="1"/>
  <c r="D32" i="313" s="1"/>
  <c r="D31" i="13"/>
  <c r="D33" i="313" l="1"/>
  <c r="D32" i="311"/>
  <c r="D33" i="311" s="1"/>
  <c r="D32" i="310"/>
  <c r="D33" i="310" s="1"/>
  <c r="D33" i="312"/>
  <c r="D32" i="309"/>
  <c r="D33" i="309" s="1"/>
  <c r="D32" i="308"/>
  <c r="D33" i="308" s="1"/>
  <c r="D33" i="305"/>
  <c r="D32" i="13"/>
  <c r="D33" i="13" s="1"/>
  <c r="C78" i="209"/>
  <c r="C79" i="209" s="1"/>
  <c r="J43" i="306"/>
  <c r="J43" i="307"/>
  <c r="J43" i="308"/>
  <c r="J43" i="309"/>
  <c r="J43" i="310"/>
  <c r="J43" i="311"/>
  <c r="J43" i="312"/>
  <c r="E80" i="304"/>
  <c r="E80" i="305"/>
  <c r="E80" i="306"/>
  <c r="E80" i="307"/>
  <c r="E80" i="308"/>
  <c r="E80" i="309"/>
  <c r="E80" i="310"/>
  <c r="E80" i="311"/>
  <c r="E80" i="312"/>
  <c r="E80" i="313"/>
  <c r="E80" i="13"/>
  <c r="E68" i="304"/>
  <c r="E68" i="305"/>
  <c r="E68" i="306"/>
  <c r="E68" i="307"/>
  <c r="E68" i="308"/>
  <c r="E68" i="309"/>
  <c r="E68" i="310"/>
  <c r="E68" i="311"/>
  <c r="E68" i="312"/>
  <c r="E68" i="313"/>
  <c r="E68" i="13"/>
  <c r="E67" i="304"/>
  <c r="E67" i="305"/>
  <c r="E67" i="306"/>
  <c r="E67" i="307"/>
  <c r="E67" i="308"/>
  <c r="E67" i="309"/>
  <c r="E67" i="310"/>
  <c r="E67" i="311"/>
  <c r="E67" i="312"/>
  <c r="E67" i="313"/>
  <c r="E67" i="13"/>
  <c r="E66" i="304"/>
  <c r="E66" i="305"/>
  <c r="E66" i="306"/>
  <c r="E66" i="307"/>
  <c r="E66" i="308"/>
  <c r="E66" i="309"/>
  <c r="E66" i="310"/>
  <c r="E66" i="311"/>
  <c r="E66" i="312"/>
  <c r="E66" i="313"/>
  <c r="E66" i="13"/>
  <c r="E65" i="304"/>
  <c r="E65" i="305"/>
  <c r="E65" i="306"/>
  <c r="E65" i="307"/>
  <c r="E65" i="308"/>
  <c r="E65" i="309"/>
  <c r="E65" i="310"/>
  <c r="E65" i="311"/>
  <c r="E65" i="312"/>
  <c r="E65" i="313"/>
  <c r="E65" i="13"/>
  <c r="E64" i="304"/>
  <c r="E64" i="305"/>
  <c r="E64" i="306"/>
  <c r="E64" i="307"/>
  <c r="E64" i="308"/>
  <c r="E64" i="309"/>
  <c r="E64" i="310"/>
  <c r="E64" i="311"/>
  <c r="E64" i="312"/>
  <c r="E64" i="313"/>
  <c r="E64" i="13"/>
  <c r="E63" i="304"/>
  <c r="E69" i="304" s="1"/>
  <c r="E63" i="305"/>
  <c r="E69" i="305" s="1"/>
  <c r="E63" i="306"/>
  <c r="E69" i="306" s="1"/>
  <c r="E63" i="307"/>
  <c r="E69" i="307" s="1"/>
  <c r="E70" i="307" s="1"/>
  <c r="E71" i="307" s="1"/>
  <c r="E63" i="308"/>
  <c r="E69" i="308" s="1"/>
  <c r="E63" i="309"/>
  <c r="E69" i="309" s="1"/>
  <c r="E63" i="310"/>
  <c r="E69" i="310" s="1"/>
  <c r="E63" i="311"/>
  <c r="E69" i="311" s="1"/>
  <c r="E63" i="312"/>
  <c r="E69" i="312" s="1"/>
  <c r="E63" i="313"/>
  <c r="E63" i="13"/>
  <c r="E59" i="304"/>
  <c r="E59" i="306"/>
  <c r="E59" i="307"/>
  <c r="E59" i="308"/>
  <c r="E59" i="309"/>
  <c r="E59" i="310"/>
  <c r="E59" i="311"/>
  <c r="E59" i="312"/>
  <c r="E58" i="304"/>
  <c r="E58" i="305"/>
  <c r="E58" i="306"/>
  <c r="E58" i="307"/>
  <c r="E58" i="308"/>
  <c r="E58" i="309"/>
  <c r="E58" i="310"/>
  <c r="E58" i="311"/>
  <c r="E58" i="312"/>
  <c r="E58" i="313"/>
  <c r="E58" i="13"/>
  <c r="E57" i="304"/>
  <c r="E57" i="305"/>
  <c r="E57" i="306"/>
  <c r="E57" i="307"/>
  <c r="E57" i="308"/>
  <c r="E57" i="309"/>
  <c r="E57" i="310"/>
  <c r="E57" i="311"/>
  <c r="E57" i="312"/>
  <c r="E57" i="313"/>
  <c r="E57" i="13"/>
  <c r="E56" i="304"/>
  <c r="E56" i="305"/>
  <c r="E56" i="306"/>
  <c r="E56" i="307"/>
  <c r="E56" i="308"/>
  <c r="E56" i="309"/>
  <c r="E56" i="310"/>
  <c r="E56" i="311"/>
  <c r="E56" i="312"/>
  <c r="E56" i="313"/>
  <c r="E59" i="313" s="1"/>
  <c r="E56" i="13"/>
  <c r="E55" i="304"/>
  <c r="E55" i="305"/>
  <c r="E55" i="306"/>
  <c r="E55" i="307"/>
  <c r="E55" i="308"/>
  <c r="E55" i="309"/>
  <c r="E55" i="310"/>
  <c r="E55" i="311"/>
  <c r="E55" i="312"/>
  <c r="E55" i="313"/>
  <c r="E55" i="13"/>
  <c r="E54" i="304"/>
  <c r="E54" i="305"/>
  <c r="E54" i="306"/>
  <c r="E54" i="307"/>
  <c r="E54" i="308"/>
  <c r="E54" i="309"/>
  <c r="E54" i="310"/>
  <c r="E54" i="311"/>
  <c r="E54" i="312"/>
  <c r="E54" i="313"/>
  <c r="E54" i="13"/>
  <c r="E53" i="304"/>
  <c r="E53" i="305"/>
  <c r="E53" i="306"/>
  <c r="E53" i="307"/>
  <c r="E53" i="308"/>
  <c r="E53" i="309"/>
  <c r="E53" i="310"/>
  <c r="E53" i="311"/>
  <c r="E53" i="312"/>
  <c r="E53" i="313"/>
  <c r="E53" i="13"/>
  <c r="E59" i="13" s="1"/>
  <c r="E49" i="304"/>
  <c r="E49" i="305"/>
  <c r="E49" i="306"/>
  <c r="E49" i="307"/>
  <c r="E49" i="308"/>
  <c r="E49" i="309"/>
  <c r="E49" i="310"/>
  <c r="E49" i="311"/>
  <c r="E49" i="312"/>
  <c r="E49" i="313"/>
  <c r="E49" i="13"/>
  <c r="E43" i="307"/>
  <c r="E43" i="308"/>
  <c r="E43" i="309"/>
  <c r="E43" i="310"/>
  <c r="E43" i="311"/>
  <c r="E42" i="304"/>
  <c r="E42" i="305"/>
  <c r="E42" i="306"/>
  <c r="E42" i="307"/>
  <c r="E42" i="308"/>
  <c r="E42" i="309"/>
  <c r="E42" i="310"/>
  <c r="E42" i="311"/>
  <c r="E42" i="312"/>
  <c r="E42" i="313"/>
  <c r="E42" i="13"/>
  <c r="E41" i="304"/>
  <c r="E41" i="305"/>
  <c r="E41" i="306"/>
  <c r="E41" i="307"/>
  <c r="E41" i="308"/>
  <c r="E41" i="309"/>
  <c r="E41" i="310"/>
  <c r="E41" i="311"/>
  <c r="E41" i="312"/>
  <c r="E41" i="313"/>
  <c r="E41" i="13"/>
  <c r="E40" i="304"/>
  <c r="E40" i="305"/>
  <c r="E40" i="306"/>
  <c r="E40" i="307"/>
  <c r="E40" i="308"/>
  <c r="E40" i="309"/>
  <c r="E40" i="310"/>
  <c r="E40" i="311"/>
  <c r="E40" i="312"/>
  <c r="E40" i="313"/>
  <c r="E40" i="13"/>
  <c r="E39" i="304"/>
  <c r="E39" i="305"/>
  <c r="E39" i="306"/>
  <c r="E39" i="307"/>
  <c r="E39" i="308"/>
  <c r="E39" i="309"/>
  <c r="E39" i="310"/>
  <c r="E39" i="311"/>
  <c r="E39" i="312"/>
  <c r="E39" i="313"/>
  <c r="E39" i="13"/>
  <c r="E38" i="304"/>
  <c r="E38" i="305"/>
  <c r="E38" i="306"/>
  <c r="E38" i="307"/>
  <c r="E38" i="308"/>
  <c r="E38" i="309"/>
  <c r="E38" i="310"/>
  <c r="E38" i="311"/>
  <c r="E38" i="312"/>
  <c r="E38" i="313"/>
  <c r="E38" i="13"/>
  <c r="E37" i="304"/>
  <c r="E37" i="305"/>
  <c r="E37" i="306"/>
  <c r="E37" i="307"/>
  <c r="E37" i="308"/>
  <c r="E37" i="309"/>
  <c r="E37" i="310"/>
  <c r="E37" i="311"/>
  <c r="E37" i="312"/>
  <c r="E37" i="313"/>
  <c r="E37" i="13"/>
  <c r="E36" i="304"/>
  <c r="E36" i="305"/>
  <c r="E36" i="306"/>
  <c r="E36" i="307"/>
  <c r="E36" i="308"/>
  <c r="E36" i="309"/>
  <c r="E36" i="310"/>
  <c r="E36" i="311"/>
  <c r="E36" i="312"/>
  <c r="E36" i="313"/>
  <c r="E36" i="13"/>
  <c r="E35" i="304"/>
  <c r="E43" i="304" s="1"/>
  <c r="J43" i="304" s="1"/>
  <c r="E35" i="305"/>
  <c r="E35" i="306"/>
  <c r="E43" i="306" s="1"/>
  <c r="E35" i="307"/>
  <c r="E35" i="308"/>
  <c r="E35" i="309"/>
  <c r="E35" i="310"/>
  <c r="E35" i="311"/>
  <c r="E35" i="312"/>
  <c r="E43" i="312" s="1"/>
  <c r="E35" i="313"/>
  <c r="E35" i="13"/>
  <c r="E31" i="307"/>
  <c r="E30" i="304"/>
  <c r="E30" i="305"/>
  <c r="E30" i="306"/>
  <c r="E30" i="307"/>
  <c r="E30" i="308"/>
  <c r="E30" i="309"/>
  <c r="E30" i="310"/>
  <c r="E30" i="311"/>
  <c r="E30" i="312"/>
  <c r="E30" i="313"/>
  <c r="E30" i="13"/>
  <c r="E29" i="304"/>
  <c r="E29" i="305"/>
  <c r="E29" i="306"/>
  <c r="E29" i="307"/>
  <c r="E29" i="308"/>
  <c r="E29" i="309"/>
  <c r="E29" i="310"/>
  <c r="E29" i="311"/>
  <c r="E29" i="312"/>
  <c r="E29" i="313"/>
  <c r="E29" i="13"/>
  <c r="E31" i="13" l="1"/>
  <c r="E31" i="306"/>
  <c r="E31" i="305"/>
  <c r="E31" i="312"/>
  <c r="E31" i="304"/>
  <c r="E69" i="313"/>
  <c r="E70" i="313" s="1"/>
  <c r="E31" i="313"/>
  <c r="E43" i="313"/>
  <c r="J43" i="313" s="1"/>
  <c r="E59" i="305"/>
  <c r="E43" i="305"/>
  <c r="E31" i="309"/>
  <c r="E31" i="310"/>
  <c r="E69" i="13"/>
  <c r="E70" i="13" s="1"/>
  <c r="E71" i="13" s="1"/>
  <c r="E43" i="13"/>
  <c r="E70" i="310"/>
  <c r="E71" i="310" s="1"/>
  <c r="E70" i="304"/>
  <c r="E71" i="304" s="1"/>
  <c r="E70" i="309"/>
  <c r="E71" i="309" s="1"/>
  <c r="E70" i="308"/>
  <c r="E71" i="308" s="1"/>
  <c r="E70" i="306"/>
  <c r="E71" i="306" s="1"/>
  <c r="E70" i="312"/>
  <c r="E71" i="312" s="1"/>
  <c r="E70" i="311"/>
  <c r="E71" i="311" s="1"/>
  <c r="E31" i="308"/>
  <c r="E31" i="311"/>
  <c r="E70" i="305"/>
  <c r="E71" i="305" s="1"/>
  <c r="E71" i="313" l="1"/>
  <c r="E29" i="120"/>
  <c r="E28" i="120"/>
  <c r="D28" i="120"/>
  <c r="C28" i="120"/>
  <c r="I22" i="314" l="1"/>
  <c r="L21" i="314"/>
  <c r="L20" i="314"/>
  <c r="L19" i="314"/>
  <c r="L18" i="314"/>
  <c r="L17" i="314"/>
  <c r="L16" i="314"/>
  <c r="L15" i="314"/>
  <c r="L14" i="314"/>
  <c r="L13" i="314"/>
  <c r="L12" i="314"/>
  <c r="L11" i="314"/>
  <c r="L25" i="314" s="1"/>
  <c r="L26" i="314" s="1"/>
  <c r="F14" i="249" l="1"/>
  <c r="F15" i="249"/>
  <c r="F16" i="249"/>
  <c r="F17" i="249"/>
  <c r="F18" i="249"/>
  <c r="F19" i="249"/>
  <c r="F20" i="249"/>
  <c r="F21" i="249"/>
  <c r="F22" i="249"/>
  <c r="F23" i="249"/>
  <c r="F13" i="249"/>
  <c r="C14" i="249"/>
  <c r="C15" i="249"/>
  <c r="C16" i="249"/>
  <c r="C17" i="249"/>
  <c r="C18" i="249"/>
  <c r="C19" i="249"/>
  <c r="C20" i="249"/>
  <c r="C21" i="249"/>
  <c r="C22" i="249"/>
  <c r="C23" i="249"/>
  <c r="C13" i="249"/>
  <c r="C13" i="266"/>
  <c r="C15" i="248"/>
  <c r="E15" i="248" s="1"/>
  <c r="G15" i="248" s="1"/>
  <c r="C14" i="248"/>
  <c r="E14" i="248" s="1"/>
  <c r="G14" i="248" s="1"/>
  <c r="C13" i="248"/>
  <c r="E13" i="248" s="1"/>
  <c r="G13" i="248" s="1"/>
  <c r="G27" i="266"/>
  <c r="C14" i="210"/>
  <c r="C13" i="210"/>
  <c r="E13" i="266" l="1"/>
  <c r="G16" i="266"/>
  <c r="G13" i="266" l="1"/>
  <c r="I24" i="248" l="1"/>
  <c r="I23" i="248"/>
  <c r="E14" i="210" l="1"/>
  <c r="G14" i="210" s="1"/>
  <c r="E13" i="210"/>
  <c r="E14" i="249"/>
  <c r="E15" i="249"/>
  <c r="E16" i="249"/>
  <c r="E17" i="249"/>
  <c r="E18" i="249"/>
  <c r="G18" i="249" s="1"/>
  <c r="E19" i="249"/>
  <c r="E20" i="249"/>
  <c r="E21" i="249"/>
  <c r="G21" i="249" s="1"/>
  <c r="E22" i="249"/>
  <c r="G22" i="249" s="1"/>
  <c r="E23" i="249"/>
  <c r="G23" i="249" s="1"/>
  <c r="E13" i="249"/>
  <c r="G16" i="249" l="1"/>
  <c r="G15" i="249"/>
  <c r="G14" i="249"/>
  <c r="G20" i="249"/>
  <c r="G19" i="249"/>
  <c r="G17" i="249"/>
  <c r="G13" i="249"/>
  <c r="G13" i="210"/>
  <c r="M18" i="120"/>
  <c r="M19" i="120"/>
  <c r="L27" i="120" s="1"/>
  <c r="M20" i="120"/>
  <c r="L32" i="120" s="1"/>
  <c r="M21" i="120"/>
  <c r="M22" i="120"/>
  <c r="M23" i="120"/>
  <c r="M24" i="120"/>
  <c r="M17" i="120"/>
  <c r="G25" i="249" l="1"/>
  <c r="G36" i="249"/>
  <c r="G17" i="248"/>
  <c r="G28" i="248"/>
  <c r="L28" i="120"/>
  <c r="L30" i="120"/>
  <c r="G16" i="210" l="1"/>
  <c r="E13" i="184"/>
  <c r="F13" i="184" s="1"/>
  <c r="E12" i="184"/>
  <c r="F12" i="184" s="1"/>
  <c r="K6" i="184"/>
  <c r="F15" i="184" l="1"/>
  <c r="E8" i="184" l="1"/>
  <c r="F8" i="184" s="1"/>
  <c r="E6" i="184"/>
  <c r="F6" i="184" s="1"/>
  <c r="E7" i="184"/>
  <c r="F7" i="184" s="1"/>
  <c r="E5" i="184"/>
  <c r="F5" i="184" l="1"/>
  <c r="F10" i="184" s="1"/>
  <c r="P9" i="120" l="1"/>
  <c r="P10" i="120" s="1"/>
  <c r="P6" i="120"/>
  <c r="P4" i="120"/>
  <c r="P5" i="120" s="1"/>
  <c r="L10" i="120"/>
  <c r="L5" i="120"/>
  <c r="P7" i="120" l="1"/>
  <c r="P11" i="120" s="1"/>
  <c r="P12" i="120" s="1"/>
  <c r="L11" i="120"/>
  <c r="C25" i="164" l="1"/>
  <c r="E22" i="164"/>
  <c r="C19" i="164"/>
  <c r="C26" i="164" l="1"/>
  <c r="C27" i="164" s="1"/>
  <c r="C28" i="164" s="1"/>
  <c r="G27" i="210" l="1"/>
  <c r="G35" i="266" l="1"/>
  <c r="G37" i="266" s="1"/>
  <c r="G39" i="266" s="1"/>
  <c r="G36" i="248"/>
  <c r="G38" i="248" s="1"/>
  <c r="G40" i="248" s="1"/>
  <c r="G44" i="249"/>
  <c r="G46" i="249" s="1"/>
  <c r="G48" i="249" s="1"/>
  <c r="G35" i="210"/>
  <c r="G37" i="210" s="1"/>
  <c r="I37" i="210" l="1"/>
  <c r="G39" i="210"/>
  <c r="L22" i="314"/>
  <c r="E32" i="13"/>
  <c r="E33" i="13" s="1"/>
  <c r="E50" i="13" s="1"/>
  <c r="E83" i="13" s="1"/>
  <c r="E84" i="13" l="1"/>
  <c r="E85" i="13" l="1"/>
  <c r="E86" i="13" s="1"/>
  <c r="E87" i="13" s="1"/>
  <c r="E88" i="13" l="1"/>
  <c r="E89" i="13" s="1"/>
  <c r="E91" i="13" s="1"/>
  <c r="S6" i="209" s="1"/>
  <c r="T6" i="209" s="1"/>
  <c r="M11" i="306" l="1"/>
  <c r="M11" i="312"/>
  <c r="M11" i="308"/>
  <c r="M11" i="307"/>
  <c r="M11" i="311"/>
  <c r="M11" i="304"/>
  <c r="M11" i="309"/>
  <c r="M11" i="310"/>
  <c r="E93" i="13"/>
  <c r="E32" i="306"/>
  <c r="E33" i="306" s="1"/>
  <c r="E50" i="306" s="1"/>
  <c r="E83" i="306" s="1"/>
  <c r="E32" i="307"/>
  <c r="E33" i="307"/>
  <c r="E50" i="307" s="1"/>
  <c r="E83" i="307" s="1"/>
  <c r="E32" i="309"/>
  <c r="E33" i="309" s="1"/>
  <c r="E50" i="309" s="1"/>
  <c r="E83" i="309" s="1"/>
  <c r="E32" i="304"/>
  <c r="E33" i="304" s="1"/>
  <c r="E50" i="304" s="1"/>
  <c r="E83" i="304" s="1"/>
  <c r="E32" i="313"/>
  <c r="E33" i="313" s="1"/>
  <c r="E50" i="313" s="1"/>
  <c r="E83" i="313" s="1"/>
  <c r="E84" i="313" s="1"/>
  <c r="E32" i="311"/>
  <c r="E33" i="311" s="1"/>
  <c r="E50" i="311" s="1"/>
  <c r="E83" i="311" s="1"/>
  <c r="E84" i="311" s="1"/>
  <c r="E32" i="310"/>
  <c r="E33" i="310" s="1"/>
  <c r="E50" i="310" s="1"/>
  <c r="E83" i="310" s="1"/>
  <c r="E84" i="310" s="1"/>
  <c r="E32" i="312"/>
  <c r="E33" i="312" s="1"/>
  <c r="E50" i="312" s="1"/>
  <c r="E83" i="312" s="1"/>
  <c r="E84" i="312" s="1"/>
  <c r="E85" i="312" s="1"/>
  <c r="E32" i="305"/>
  <c r="E33" i="305" s="1"/>
  <c r="E50" i="305" s="1"/>
  <c r="E83" i="305" s="1"/>
  <c r="E84" i="305" s="1"/>
  <c r="E32" i="308"/>
  <c r="E33" i="308"/>
  <c r="E50" i="308" s="1"/>
  <c r="E83" i="308" s="1"/>
  <c r="E84" i="308" s="1"/>
  <c r="E85" i="311" l="1"/>
  <c r="E86" i="311" s="1"/>
  <c r="E87" i="311" s="1"/>
  <c r="E88" i="311" s="1"/>
  <c r="E89" i="311" s="1"/>
  <c r="E91" i="311" s="1"/>
  <c r="S14" i="209" s="1"/>
  <c r="T14" i="209" s="1"/>
  <c r="E86" i="312"/>
  <c r="E87" i="312" s="1"/>
  <c r="E88" i="312" s="1"/>
  <c r="E84" i="309"/>
  <c r="E85" i="305"/>
  <c r="E84" i="307"/>
  <c r="E84" i="304"/>
  <c r="E84" i="306"/>
  <c r="E85" i="308"/>
  <c r="E86" i="308" s="1"/>
  <c r="E87" i="308" s="1"/>
  <c r="E88" i="308" s="1"/>
  <c r="E85" i="313"/>
  <c r="E85" i="310"/>
  <c r="E86" i="310" s="1"/>
  <c r="E87" i="310" s="1"/>
  <c r="E88" i="310" l="1"/>
  <c r="E89" i="310" s="1"/>
  <c r="E91" i="310" s="1"/>
  <c r="S13" i="209" s="1"/>
  <c r="T13" i="209" s="1"/>
  <c r="E89" i="312"/>
  <c r="E91" i="312" s="1"/>
  <c r="S15" i="209" s="1"/>
  <c r="T15" i="209" s="1"/>
  <c r="E89" i="308"/>
  <c r="E91" i="308" s="1"/>
  <c r="S11" i="209" s="1"/>
  <c r="T11" i="209" s="1"/>
  <c r="E85" i="306"/>
  <c r="E86" i="306" s="1"/>
  <c r="E87" i="306" s="1"/>
  <c r="E85" i="309"/>
  <c r="E86" i="309" s="1"/>
  <c r="E87" i="309" s="1"/>
  <c r="E86" i="313"/>
  <c r="E87" i="313" s="1"/>
  <c r="E88" i="313" s="1"/>
  <c r="E93" i="311"/>
  <c r="E85" i="304"/>
  <c r="E86" i="304" s="1"/>
  <c r="E87" i="304" s="1"/>
  <c r="E86" i="305"/>
  <c r="E87" i="305" s="1"/>
  <c r="E88" i="305" s="1"/>
  <c r="E89" i="305" s="1"/>
  <c r="E91" i="305" s="1"/>
  <c r="S8" i="209" s="1"/>
  <c r="T8" i="209" s="1"/>
  <c r="E85" i="307"/>
  <c r="E93" i="312" l="1"/>
  <c r="E93" i="305"/>
  <c r="E88" i="304"/>
  <c r="E89" i="304" s="1"/>
  <c r="E91" i="304" s="1"/>
  <c r="S7" i="209" s="1"/>
  <c r="T7" i="209" s="1"/>
  <c r="E86" i="307"/>
  <c r="E87" i="307" s="1"/>
  <c r="E88" i="307" s="1"/>
  <c r="E89" i="313"/>
  <c r="E91" i="313" s="1"/>
  <c r="E88" i="306"/>
  <c r="E89" i="306" s="1"/>
  <c r="E91" i="306" s="1"/>
  <c r="S9" i="209" s="1"/>
  <c r="T9" i="209" s="1"/>
  <c r="E88" i="309"/>
  <c r="E89" i="309" s="1"/>
  <c r="E91" i="309" s="1"/>
  <c r="S12" i="209" s="1"/>
  <c r="T12" i="209" s="1"/>
  <c r="E93" i="310"/>
  <c r="E93" i="308"/>
  <c r="E93" i="306" l="1"/>
  <c r="E93" i="304"/>
  <c r="S16" i="209"/>
  <c r="E93" i="313"/>
  <c r="M21" i="311"/>
  <c r="M21" i="312"/>
  <c r="K21" i="305"/>
  <c r="M21" i="309"/>
  <c r="M21" i="304"/>
  <c r="M21" i="306"/>
  <c r="M21" i="308"/>
  <c r="M21" i="310"/>
  <c r="M21" i="307"/>
  <c r="E89" i="307"/>
  <c r="E91" i="307" s="1"/>
  <c r="S10" i="209" s="1"/>
  <c r="T10" i="209" s="1"/>
  <c r="E93" i="309"/>
  <c r="T16" i="209" l="1"/>
  <c r="T17" i="209" s="1"/>
  <c r="E93" i="307"/>
  <c r="T18" i="20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 Weiprecht</author>
    <author>Fábio Koichi Freitas Nozaki - Oficial de Chancelaria</author>
  </authors>
  <commentList>
    <comment ref="E23" authorId="0" shapeId="0" xr:uid="{00000000-0006-0000-0200-000001000000}">
      <text>
        <r>
          <rPr>
            <sz val="9"/>
            <color indexed="81"/>
            <rFont val="Segoe UI"/>
            <family val="2"/>
          </rPr>
          <t>20% de adicional noturno; proporcional a 1/6 (equipe noturna exige 1 analista de suporte Windows).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23" authorId="0" shapeId="0" xr:uid="{E0E1719B-13EF-463C-A6EE-CFB702147606}">
      <text>
        <r>
          <rPr>
            <sz val="9"/>
            <color indexed="81"/>
            <rFont val="Segoe UI"/>
            <family val="2"/>
          </rPr>
          <t>20% de adicional noturno; proporcional a 1/6 (equipe noturna exige 1 analista de suporte Windows).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7" authorId="1" shapeId="0" xr:uid="{00000000-0006-0000-0200-000002000000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5" authorId="1" shapeId="0" xr:uid="{00000000-0006-0000-0200-000003000000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1" shapeId="0" xr:uid="{00000000-0006-0000-0200-000004000000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4" authorId="1" shapeId="0" xr:uid="{00000000-0006-0000-0200-000005000000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5" authorId="1" shapeId="0" xr:uid="{00000000-0006-0000-0200-000006000000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6" authorId="1" shapeId="0" xr:uid="{00000000-0006-0000-0200-000007000000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58" authorId="1" shapeId="0" xr:uid="{00000000-0006-0000-0200-000008000000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7" authorId="1" shapeId="0" xr:uid="{00000000-0006-0000-0200-000009000000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 Weiprecht</author>
    <author>Fábio Koichi Freitas Nozaki - Oficial de Chancelaria</author>
  </authors>
  <commentList>
    <comment ref="E23" authorId="0" shapeId="0" xr:uid="{D8BE0350-92F7-4D4A-AB43-EE96F71E2BAC}">
      <text>
        <r>
          <rPr>
            <sz val="9"/>
            <color indexed="81"/>
            <rFont val="Segoe UI"/>
            <family val="2"/>
          </rPr>
          <t>20% de adicional noturno; proporcional a 1/6 (equipe noturna exige 1 analista de suporte Windows).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7" authorId="1" shapeId="0" xr:uid="{AA9089C4-FA0E-4B0C-AF2B-E199A4AD0381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5" authorId="1" shapeId="0" xr:uid="{B3C5B206-805E-4221-8709-FFC7334C5B0B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1" shapeId="0" xr:uid="{04DDBEF5-FBCF-45DA-82A7-4B09CFC3164B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4" authorId="1" shapeId="0" xr:uid="{D387F87C-CC7D-4A7C-A2A9-F561FBB9862E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5" authorId="1" shapeId="0" xr:uid="{555930E2-4422-4DDA-B1BA-8A876D4A3369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6" authorId="1" shapeId="0" xr:uid="{C36E90E9-BF0A-42C3-A3A7-1BED533A627E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58" authorId="1" shapeId="0" xr:uid="{C0FA620B-9FEF-4A60-A8DD-67021DE73D08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7" authorId="1" shapeId="0" xr:uid="{DA82A5F6-21EE-4B3B-B804-F3F973EF6423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 Weiprecht</author>
    <author>Fábio Koichi Freitas Nozaki - Oficial de Chancelaria</author>
  </authors>
  <commentList>
    <comment ref="E23" authorId="0" shapeId="0" xr:uid="{33018EFB-9263-4A8F-A242-00A15E673E25}">
      <text>
        <r>
          <rPr>
            <sz val="9"/>
            <color indexed="81"/>
            <rFont val="Segoe UI"/>
            <family val="2"/>
          </rPr>
          <t>20% de adicional noturno; proporcional a 1/6 (equipe noturna exige 1 analista de suporte Windows).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7" authorId="1" shapeId="0" xr:uid="{1952D5EC-4112-4CF1-B24C-15444887310A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5" authorId="1" shapeId="0" xr:uid="{1A8B2D06-E621-4732-A0C8-31077B1C87E9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1" shapeId="0" xr:uid="{14814267-947E-469D-9E97-D2181CC8B3C4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4" authorId="1" shapeId="0" xr:uid="{CE42170D-0512-4B9C-894E-9F527C7FC642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5" authorId="1" shapeId="0" xr:uid="{AD42C3BF-679A-4490-B285-C9BAD96798BB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6" authorId="1" shapeId="0" xr:uid="{9185E613-0846-4691-99C7-43E89C7EE00E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58" authorId="1" shapeId="0" xr:uid="{1D835579-8EB9-4DE2-9C94-5E19F34571A6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7" authorId="1" shapeId="0" xr:uid="{6E1C5381-C652-49F7-AA98-1099772ABB41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 Weiprecht</author>
    <author>Fábio Koichi Freitas Nozaki - Oficial de Chancelaria</author>
  </authors>
  <commentList>
    <comment ref="E23" authorId="0" shapeId="0" xr:uid="{757CDBD9-C1DF-44D6-84A4-C5360C5177D0}">
      <text>
        <r>
          <rPr>
            <sz val="9"/>
            <color indexed="81"/>
            <rFont val="Segoe UI"/>
            <family val="2"/>
          </rPr>
          <t>20% de adicional noturno; proporcional a 1/6 (equipe noturna exige 1 analista de suporte Windows).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7" authorId="1" shapeId="0" xr:uid="{6A347F84-CE5D-49CA-B480-4618908E3E63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5" authorId="1" shapeId="0" xr:uid="{B75741A3-12AF-43ED-9494-13A1036B62A8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1" shapeId="0" xr:uid="{1DF5C751-A648-4966-92A8-61C438FBDA01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4" authorId="1" shapeId="0" xr:uid="{A8F23AF5-F070-4998-8340-A187CD4BE2DB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5" authorId="1" shapeId="0" xr:uid="{88BC649A-564A-4645-B8CE-93F86AC351B6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6" authorId="1" shapeId="0" xr:uid="{85F74F66-2CCF-4F03-9597-999B4877E3F3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58" authorId="1" shapeId="0" xr:uid="{1055CF02-B839-474A-8DDD-9F896EC68468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7" authorId="1" shapeId="0" xr:uid="{FBF4FE11-7FCF-463C-9A19-36CE202D0823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 Weiprecht</author>
    <author>Fábio Koichi Freitas Nozaki - Oficial de Chancelaria</author>
  </authors>
  <commentList>
    <comment ref="E23" authorId="0" shapeId="0" xr:uid="{C24151E5-F9BD-4340-8408-5EDE44EC0448}">
      <text>
        <r>
          <rPr>
            <sz val="9"/>
            <color indexed="81"/>
            <rFont val="Segoe UI"/>
            <family val="2"/>
          </rPr>
          <t>20% de adicional noturno; proporcional a 1/6 (equipe noturna exige 1 analista de suporte Windows).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7" authorId="1" shapeId="0" xr:uid="{B8BBB4AF-498B-4B63-984C-F8DDE8C413A3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5" authorId="1" shapeId="0" xr:uid="{B12256F9-4C47-4E16-AA6A-2348E215CAD3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1" shapeId="0" xr:uid="{9CC27ECA-CDE4-4A1F-B1A2-BD6A9D0267C9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4" authorId="1" shapeId="0" xr:uid="{F204B40E-72D4-4EDB-9DAE-C7019E761DB6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5" authorId="1" shapeId="0" xr:uid="{5C30B69D-9EF7-4684-AF9A-FFCD755813F9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6" authorId="1" shapeId="0" xr:uid="{A45B6DF6-A234-48D9-BD33-ACD968C311B6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58" authorId="1" shapeId="0" xr:uid="{C2BD5B5E-888A-4345-AE28-FACF6A2EE55E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7" authorId="1" shapeId="0" xr:uid="{B333268A-0B3D-4543-9E7F-5929205EC43A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 Weiprecht</author>
    <author>Fábio Koichi Freitas Nozaki - Oficial de Chancelaria</author>
  </authors>
  <commentList>
    <comment ref="E23" authorId="0" shapeId="0" xr:uid="{92D34FE6-D4DB-48A2-80F3-33759423EE5F}">
      <text>
        <r>
          <rPr>
            <sz val="9"/>
            <color indexed="81"/>
            <rFont val="Segoe UI"/>
            <family val="2"/>
          </rPr>
          <t>20% de adicional noturno; proporcional a 1/6 (equipe noturna exige 1 analista de suporte Windows).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7" authorId="1" shapeId="0" xr:uid="{60E00D06-E5F1-48B2-B046-A1B8085CCB55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5" authorId="1" shapeId="0" xr:uid="{43D2E3A1-A3C2-4934-8BD1-E61D91634091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1" shapeId="0" xr:uid="{5098A8A9-2EF5-438F-BF1F-B59712246F3D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4" authorId="1" shapeId="0" xr:uid="{AC4AF53D-2CD2-487A-AAC3-69DC19F646F9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5" authorId="1" shapeId="0" xr:uid="{F4D223DC-0E69-4B07-93CB-F35C0BFB24DD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6" authorId="1" shapeId="0" xr:uid="{0309FCB0-D117-4577-9435-220740138BFC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58" authorId="1" shapeId="0" xr:uid="{7B4B6191-7EC8-4607-996D-C6FB38D66167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7" authorId="1" shapeId="0" xr:uid="{4ED980A6-072A-4263-BC68-AF981B692E39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 Weiprecht</author>
    <author>Fábio Koichi Freitas Nozaki - Oficial de Chancelaria</author>
  </authors>
  <commentList>
    <comment ref="E23" authorId="0" shapeId="0" xr:uid="{9625FFD9-157E-420E-A264-94A9AFBE5455}">
      <text>
        <r>
          <rPr>
            <sz val="9"/>
            <color indexed="81"/>
            <rFont val="Segoe UI"/>
            <family val="2"/>
          </rPr>
          <t>20% de adicional noturno; proporcional a 1/6 (equipe noturna exige 1 analista de suporte Windows).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7" authorId="1" shapeId="0" xr:uid="{2BE1DC47-AE98-48AB-A38F-22E847C4C465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5" authorId="1" shapeId="0" xr:uid="{2D01CAAC-2022-4A18-9CC2-053F2F554B56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1" shapeId="0" xr:uid="{2813D7F8-64E9-4722-A5DC-DD01BF9F72F7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4" authorId="1" shapeId="0" xr:uid="{CC24CFE1-9FE1-4D66-A980-FF65BF16F3DB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5" authorId="1" shapeId="0" xr:uid="{2283FD8C-6FC3-4244-A803-0DA4FCDBDB08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6" authorId="1" shapeId="0" xr:uid="{BF2765A0-B184-480A-94CD-FE5AC7501598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58" authorId="1" shapeId="0" xr:uid="{BCBD5F8D-7C66-48D8-B377-C90AD2BD227F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7" authorId="1" shapeId="0" xr:uid="{4DF2A9F4-C2D4-4221-8906-EA9C51FF233D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 Weiprecht</author>
    <author>Fábio Koichi Freitas Nozaki - Oficial de Chancelaria</author>
  </authors>
  <commentList>
    <comment ref="E23" authorId="0" shapeId="0" xr:uid="{774A9D13-FA94-4053-8AF9-6755C0B9A369}">
      <text>
        <r>
          <rPr>
            <sz val="9"/>
            <color indexed="81"/>
            <rFont val="Segoe UI"/>
            <family val="2"/>
          </rPr>
          <t>20% de adicional noturno; proporcional a 1/6 (equipe noturna exige 1 analista de suporte Windows).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7" authorId="1" shapeId="0" xr:uid="{08FC7130-9033-4160-9715-298D6BEE4287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5" authorId="1" shapeId="0" xr:uid="{6F634694-E1B3-47B5-979C-68815F9DCDFF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1" shapeId="0" xr:uid="{C1355668-080F-4560-B0AC-D2335BC22B09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4" authorId="1" shapeId="0" xr:uid="{37C55365-37FE-4343-A2C1-49EBCE5828B6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5" authorId="1" shapeId="0" xr:uid="{56269ED8-5ECB-42EE-8F51-73ECEC32C3C7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6" authorId="1" shapeId="0" xr:uid="{6BB3E062-1370-45B4-B09A-8341F028AEAF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58" authorId="1" shapeId="0" xr:uid="{8C135C63-E056-4092-A34E-8960D457FC36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7" authorId="1" shapeId="0" xr:uid="{B13C08E9-B9F0-4828-B9DD-744586AAB581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 Weiprecht</author>
    <author>Fábio Koichi Freitas Nozaki - Oficial de Chancelaria</author>
  </authors>
  <commentList>
    <comment ref="E23" authorId="0" shapeId="0" xr:uid="{0CA64442-8C18-4CF0-BDD5-097E6AB47169}">
      <text>
        <r>
          <rPr>
            <sz val="9"/>
            <color indexed="81"/>
            <rFont val="Segoe UI"/>
            <family val="2"/>
          </rPr>
          <t>20% de adicional noturno; proporcional a 1/6 (equipe noturna exige 1 analista de suporte Windows).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7" authorId="1" shapeId="0" xr:uid="{23858247-4857-4230-8ECE-D9BB4BC456DF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5" authorId="1" shapeId="0" xr:uid="{729460A6-F373-4C17-B7EE-346C82D9752C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1" shapeId="0" xr:uid="{07A439D1-CB5B-432E-91E7-249E805DC77D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4" authorId="1" shapeId="0" xr:uid="{2238B728-6874-4727-930F-026266AAC695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5" authorId="1" shapeId="0" xr:uid="{6F559E27-8186-4C3E-B85F-69A7AA07947D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6" authorId="1" shapeId="0" xr:uid="{932212C9-6809-4401-8889-67FECDA9FC3C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58" authorId="1" shapeId="0" xr:uid="{7658408D-5279-46E7-AE16-B9CD31244AB8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7" authorId="1" shapeId="0" xr:uid="{5354C606-D746-4304-AA14-18CA1151D16C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 Weiprecht</author>
    <author>Fábio Koichi Freitas Nozaki - Oficial de Chancelaria</author>
  </authors>
  <commentList>
    <comment ref="E23" authorId="0" shapeId="0" xr:uid="{28427EF7-C450-472F-9220-AF7062AF2F0A}">
      <text>
        <r>
          <rPr>
            <sz val="9"/>
            <color indexed="81"/>
            <rFont val="Segoe UI"/>
            <family val="2"/>
          </rPr>
          <t>20% de adicional noturno; proporcional a 1/6 (equipe noturna exige 1 analista de suporte Windows).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7" authorId="1" shapeId="0" xr:uid="{9D61C25F-1452-4A8E-864E-B65221C8B0F6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5" authorId="1" shapeId="0" xr:uid="{3011FE5E-59C0-44EB-A4C5-FBF66B85315D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1" shapeId="0" xr:uid="{561EA9FB-CEEA-4FC5-9ABB-E2CBB816DA45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4" authorId="1" shapeId="0" xr:uid="{1C294A6A-51DE-4A9A-B993-C9A3FDD6435D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5" authorId="1" shapeId="0" xr:uid="{E1D1F4E1-7BCE-4B97-8FA6-1E547713BFCD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6" authorId="1" shapeId="0" xr:uid="{78EC72F0-DA58-4BE0-8A48-D6F6DF2AAEB1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58" authorId="1" shapeId="0" xr:uid="{9558F56E-810E-4BE5-B93A-90FE60A9CE9A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7" authorId="1" shapeId="0" xr:uid="{4E11E80B-BFD0-44C2-AC00-DE28C2C2A833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 Weiprecht</author>
    <author>Fábio Koichi Freitas Nozaki - Oficial de Chancelaria</author>
  </authors>
  <commentList>
    <comment ref="E23" authorId="0" shapeId="0" xr:uid="{48DC244E-3B3C-4E10-A947-98BFFCB5AAE8}">
      <text>
        <r>
          <rPr>
            <sz val="9"/>
            <color indexed="81"/>
            <rFont val="Segoe UI"/>
            <family val="2"/>
          </rPr>
          <t>20% de adicional noturno; proporcional a 1/6 (equipe noturna exige 1 analista de suporte Windows).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37" authorId="1" shapeId="0" xr:uid="{1D8AA6B4-1E6E-482F-9121-ABD053AD2175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5" authorId="1" shapeId="0" xr:uid="{5B3B9E9D-3433-4DB5-B500-7F0A8A0D2619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1" shapeId="0" xr:uid="{EEE65E4A-2D27-4562-8CAE-F03F0D82F2B2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4" authorId="1" shapeId="0" xr:uid="{D2DA811E-4867-4B88-B397-D2636E9DEB1B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5" authorId="1" shapeId="0" xr:uid="{BC731B2A-B1B3-4D2D-9DC3-787078640162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6" authorId="1" shapeId="0" xr:uid="{D4F07876-FB22-401A-80F3-2B1066023171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58" authorId="1" shapeId="0" xr:uid="{F92F3B18-DBB1-4377-A710-D5D509667F59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7" authorId="1" shapeId="0" xr:uid="{1C62E522-C2E7-4048-80CB-EB03BCC803FA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sharedStrings.xml><?xml version="1.0" encoding="utf-8"?>
<sst xmlns="http://schemas.openxmlformats.org/spreadsheetml/2006/main" count="1726" uniqueCount="254">
  <si>
    <t>Lucro real</t>
  </si>
  <si>
    <t>Lucro presumido</t>
  </si>
  <si>
    <t>Discriminação dos Serviços</t>
  </si>
  <si>
    <t xml:space="preserve">   A - Data da apresentação da proposta</t>
  </si>
  <si>
    <t xml:space="preserve">   B - Município/UF</t>
  </si>
  <si>
    <t>Brasília/DF</t>
  </si>
  <si>
    <t xml:space="preserve">   C - Ano do Acordo, Convenção Coletiva ou Sentença Normativa em Dissídio Coletivo</t>
  </si>
  <si>
    <t xml:space="preserve">   D - Número de meses de execução contratual:</t>
  </si>
  <si>
    <t>Identificação do Serviço</t>
  </si>
  <si>
    <t>Tipo de serviço</t>
  </si>
  <si>
    <t>Unidade de medida</t>
  </si>
  <si>
    <t>Quantidade a contratar</t>
  </si>
  <si>
    <t>INDIVÍDUO</t>
  </si>
  <si>
    <t>Módulos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</si>
  <si>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</si>
  <si>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</si>
  <si>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</si>
  <si>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</si>
  <si>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Módulo 1 - Composição da Remuneração</t>
  </si>
  <si>
    <t>Salário-base do profissional</t>
  </si>
  <si>
    <t>Outros (especificar)</t>
  </si>
  <si>
    <t>TOTAL - MÓDULO 1</t>
  </si>
  <si>
    <t>Módulo 2 - Encargos e Benefícios Anuais, Mensais, Diários</t>
  </si>
  <si>
    <t>Submódulo 2.1 - 13º salário, férias e adicional de férias</t>
  </si>
  <si>
    <t>A</t>
  </si>
  <si>
    <t>13º salário</t>
  </si>
  <si>
    <t>B</t>
  </si>
  <si>
    <t>Férias e adicional de férias</t>
  </si>
  <si>
    <t>Total Submódulo 2.1</t>
  </si>
  <si>
    <t>Submódulo 2.2 - GPS, FGTS e Outras Contribuições</t>
  </si>
  <si>
    <t>INSS</t>
  </si>
  <si>
    <t>Salário educação</t>
  </si>
  <si>
    <t>C</t>
  </si>
  <si>
    <t>SAT</t>
  </si>
  <si>
    <t>D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</si>
  <si>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</si>
  <si>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</si>
  <si>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</si>
  <si>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</si>
  <si>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</si>
  <si>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</si>
  <si>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</si>
  <si>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</si>
  <si>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</si>
  <si>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>Total Submódulo 2.2</t>
  </si>
  <si>
    <t xml:space="preserve">Submódulo 2.3 - Benefícios Mensais e Diários </t>
  </si>
  <si>
    <t xml:space="preserve">Transporte </t>
  </si>
  <si>
    <t xml:space="preserve">Auxílio Alimentação  </t>
  </si>
  <si>
    <t>Assistência médica e familiar</t>
  </si>
  <si>
    <t>Total Submódulo 2.3</t>
  </si>
  <si>
    <t>TOTAL - MÓDULO 2</t>
  </si>
  <si>
    <t>Módulo 3 - Provisão para rescisão</t>
  </si>
  <si>
    <t>Aviso Prévio Indenizado</t>
  </si>
  <si>
    <t>incidência aviso ind.</t>
  </si>
  <si>
    <t>Incidência do FGTS sobre Aviso Prévio Indenizado</t>
  </si>
  <si>
    <t>Multa do FGTS sobre Aviso Prévio Indenizado</t>
  </si>
  <si>
    <t>pessoal remanescente após aviso prévio trab.</t>
  </si>
  <si>
    <t>Aviso Prévio Trabalhado</t>
  </si>
  <si>
    <t>Incidência dos encargos do submódulo 2.2 sobre Aviso Prévio Trabalhado</t>
  </si>
  <si>
    <t>Multa do FGTS  sobre Aviso Prévio trabalhado</t>
  </si>
  <si>
    <t>TOTAL - MÓDULO 3</t>
  </si>
  <si>
    <t>Módulo 5 - Insumos Diversos</t>
  </si>
  <si>
    <t>Equipamentos</t>
  </si>
  <si>
    <t>TOTAL - MÓDULO 5</t>
  </si>
  <si>
    <t>Módulo 6 - Custos Indiretos, Tributos e Lucro</t>
  </si>
  <si>
    <t>Custos Indiretos</t>
  </si>
  <si>
    <t>Lucro</t>
  </si>
  <si>
    <t>PIS</t>
  </si>
  <si>
    <t>COFINS</t>
  </si>
  <si>
    <t>ISS</t>
  </si>
  <si>
    <t>TOTAL - MÓDULO 6</t>
  </si>
  <si>
    <t>PREÇO PARA UM PROFISSIONAL</t>
  </si>
  <si>
    <t>PREÇO MENSAL TOTAL</t>
  </si>
  <si>
    <t>PLANILHA DE CUSTOS E FORMAÇÃO DE PREÇOS</t>
  </si>
  <si>
    <t>Adicional noturno</t>
  </si>
  <si>
    <t>Módulo 4 - Custo da reposição do funcionário ausente</t>
  </si>
  <si>
    <t>Férias</t>
  </si>
  <si>
    <t>Ausências Legais</t>
  </si>
  <si>
    <t>dias ausentes</t>
  </si>
  <si>
    <t>Licença Paternidade</t>
  </si>
  <si>
    <t xml:space="preserve">incidência pais </t>
  </si>
  <si>
    <t>Ausência por acidente de trabalho</t>
  </si>
  <si>
    <t>incid. acidentes</t>
  </si>
  <si>
    <t>Afastamento maternidade</t>
  </si>
  <si>
    <t>inicidência maternidade</t>
  </si>
  <si>
    <t>-</t>
  </si>
  <si>
    <t>TOTAL - MÓDULO 4</t>
  </si>
  <si>
    <t>CPRB</t>
  </si>
  <si>
    <t>Salário</t>
  </si>
  <si>
    <t>Item 1</t>
  </si>
  <si>
    <t>Item 2</t>
  </si>
  <si>
    <t>Item</t>
  </si>
  <si>
    <t>Item 3</t>
  </si>
  <si>
    <t>Item 4</t>
  </si>
  <si>
    <t>Item 5</t>
  </si>
  <si>
    <t>Item 6</t>
  </si>
  <si>
    <t>Recursos Computacionais</t>
  </si>
  <si>
    <t>Treinamentos e Capacitações</t>
  </si>
  <si>
    <t>Custo Software</t>
  </si>
  <si>
    <t>Custo recursos Computacionais</t>
  </si>
  <si>
    <t>Custos Equipamentos</t>
  </si>
  <si>
    <t>Custos com Serviços de Informações</t>
  </si>
  <si>
    <t>Cobertura Tributária</t>
  </si>
  <si>
    <t>Outros</t>
  </si>
  <si>
    <t>Softwares</t>
  </si>
  <si>
    <t>Item 7</t>
  </si>
  <si>
    <t>Item 8</t>
  </si>
  <si>
    <t>Item 9</t>
  </si>
  <si>
    <t>Item 10</t>
  </si>
  <si>
    <t>Item 11</t>
  </si>
  <si>
    <t>Total Mensal</t>
  </si>
  <si>
    <t>Total</t>
  </si>
  <si>
    <t>Identificação da Licitação</t>
  </si>
  <si>
    <t>Nº do Processo</t>
  </si>
  <si>
    <t>Nº da Licitação</t>
  </si>
  <si>
    <t>Nome da Empresa</t>
  </si>
  <si>
    <t>Algar TI Consultoria S.A.</t>
  </si>
  <si>
    <t>CNPJ</t>
  </si>
  <si>
    <t>05.510.654/0004-21</t>
  </si>
  <si>
    <t>GRUPO</t>
  </si>
  <si>
    <t xml:space="preserve">ITEM </t>
  </si>
  <si>
    <t>Descrição</t>
  </si>
  <si>
    <t>Valor Mensal</t>
  </si>
  <si>
    <t>Custos com software</t>
  </si>
  <si>
    <t>Custos com recursos de computação</t>
  </si>
  <si>
    <t>Custos com serviços de informações</t>
  </si>
  <si>
    <t>Outros custos (especificar)</t>
  </si>
  <si>
    <t>Outros componentes (especificar)</t>
  </si>
  <si>
    <t>QTD</t>
  </si>
  <si>
    <t>Refeição</t>
  </si>
  <si>
    <t>Remuneração</t>
  </si>
  <si>
    <t>Percentual</t>
  </si>
  <si>
    <t>Dias</t>
  </si>
  <si>
    <t>Plano de Saúde</t>
  </si>
  <si>
    <t>TIC N3</t>
  </si>
  <si>
    <t>09010.000025/2022 82</t>
  </si>
  <si>
    <t>44/2022</t>
  </si>
  <si>
    <t>1- Serviços técnicos especializados de operação  de infraestrutura de Tecnologia da Informação dos ambientes de responsabilidade da Terracap.</t>
  </si>
  <si>
    <t>Componentes de Custo</t>
  </si>
  <si>
    <t>Custos de pessoal</t>
  </si>
  <si>
    <t>Custos com equipamentos</t>
  </si>
  <si>
    <t>Subtotal componentes de custo</t>
  </si>
  <si>
    <t>Componentes de Preço</t>
  </si>
  <si>
    <t>Elementos Comerciais (Fatores/Ajustes Comerciais)</t>
  </si>
  <si>
    <t>Subtotal componentes de preço</t>
  </si>
  <si>
    <t>Total Mensal:</t>
  </si>
  <si>
    <t>Valor Total do [item/grupo]:</t>
  </si>
  <si>
    <t>[Valor mensal x quantidade de meses previstos para contratação]</t>
  </si>
  <si>
    <t>2023/2024</t>
  </si>
  <si>
    <t>Valor Unitário</t>
  </si>
  <si>
    <t>Link de Dados</t>
  </si>
  <si>
    <t>QTD Pessoas</t>
  </si>
  <si>
    <t>Preposto</t>
  </si>
  <si>
    <t>total</t>
  </si>
  <si>
    <t>Qtd Pessoas</t>
  </si>
  <si>
    <t>Horas adicional Noturno</t>
  </si>
  <si>
    <t>Total Segundo</t>
  </si>
  <si>
    <t>Segundo Hora Extra Reduzida</t>
  </si>
  <si>
    <t>Valor Hora</t>
  </si>
  <si>
    <t>Hora Adicional Noturno</t>
  </si>
  <si>
    <t>Total Adicional Noturno</t>
  </si>
  <si>
    <t>Valor por Perfil</t>
  </si>
  <si>
    <t>Valor</t>
  </si>
  <si>
    <t>Subtotal Submódulo 2.1</t>
  </si>
  <si>
    <t>Subtotal Módulo 4</t>
  </si>
  <si>
    <t>Incidência dos encargos do submódulo 2.2 sobre Reposição do Funcionário Ausente</t>
  </si>
  <si>
    <t xml:space="preserve">Outros </t>
  </si>
  <si>
    <t>Número 0800</t>
  </si>
  <si>
    <t>ASTERISK</t>
  </si>
  <si>
    <t>GRAVACAO</t>
  </si>
  <si>
    <t>Total 24 Meses</t>
  </si>
  <si>
    <t>Mensal</t>
  </si>
  <si>
    <t>Link</t>
  </si>
  <si>
    <t>Valor Por Pessoa</t>
  </si>
  <si>
    <t>Tecnologia</t>
  </si>
  <si>
    <t>Seguros</t>
  </si>
  <si>
    <t>Infra</t>
  </si>
  <si>
    <t>Componetes de Custo de Pessoal</t>
  </si>
  <si>
    <t>Identificação do Perfil Profissional</t>
  </si>
  <si>
    <t>Salário
(S)</t>
  </si>
  <si>
    <t>Fator-K
(K)</t>
  </si>
  <si>
    <t>Custo Total por Perfil
(CT = S x K)</t>
  </si>
  <si>
    <t>Qtde. profissionais por perfil
(Q)</t>
  </si>
  <si>
    <t>Custo Mensal por Perfil
(CM = CT x Q)</t>
  </si>
  <si>
    <t>Subtotal componentes de custo de Pessoal</t>
  </si>
  <si>
    <t>Demais Componentes de Custo</t>
  </si>
  <si>
    <t xml:space="preserve">Custos com equipamentos </t>
  </si>
  <si>
    <t>Subtotal Demais componentes de custo</t>
  </si>
  <si>
    <t>Taxas Administrativas</t>
  </si>
  <si>
    <t xml:space="preserve">Subtotal componentes de preço </t>
  </si>
  <si>
    <t>Valor Total do item</t>
  </si>
  <si>
    <t>Outros custos</t>
  </si>
  <si>
    <t>Kit Ferramentas</t>
  </si>
  <si>
    <t>vm's</t>
  </si>
  <si>
    <t>Teamvewer</t>
  </si>
  <si>
    <t>SEGURO GARANTIA - ANUAL</t>
  </si>
  <si>
    <t>GASTOS COM TELEFONIA 0800</t>
  </si>
  <si>
    <t>LINK DE DADOS - CUSTOS MENSAIS</t>
  </si>
  <si>
    <t>INFRA FISICA - HORTOLANDIA - INFRAESTRUTURA PROPRIA</t>
  </si>
  <si>
    <t>INFRA DE TI - ASTERISK - DESKTOP</t>
  </si>
  <si>
    <t xml:space="preserve">Técnico de suporte ao usuário de tecnologia da informação Pleno </t>
  </si>
  <si>
    <t xml:space="preserve">Técnico de suporte ao usuário de tecnologia da informação Sênior </t>
  </si>
  <si>
    <t>Técnico em manutenção de equipamentos de informática Sênio</t>
  </si>
  <si>
    <t xml:space="preserve">Gerente de suporte técnico de tecnologia da informação </t>
  </si>
  <si>
    <t xml:space="preserve">Técnico em manutenção de equipamentos de informática Pleno </t>
  </si>
  <si>
    <t xml:space="preserve">Gerente de segurança da informação </t>
  </si>
  <si>
    <t xml:space="preserve">Administrador em segurança da informação Sênior </t>
  </si>
  <si>
    <t xml:space="preserve">Analista de redes e de comunicação de dados Sênior </t>
  </si>
  <si>
    <t xml:space="preserve">Analista de redes e de comunicação de dados Pleno </t>
  </si>
  <si>
    <t xml:space="preserve">Administrador de banco de dados Sênior </t>
  </si>
  <si>
    <t xml:space="preserve">Administrador de banco de dados Pleno </t>
  </si>
  <si>
    <t xml:space="preserve">Administrador de sistemas operacionais Sênior </t>
  </si>
  <si>
    <t>Administrador de sistemas operacionais Pleno</t>
  </si>
  <si>
    <t xml:space="preserve">Administrador de sistemas operacionais Junior </t>
  </si>
  <si>
    <t xml:space="preserve">Analista de suporte computacional Pleno </t>
  </si>
  <si>
    <t>Analista de suporte computacional Sênior</t>
  </si>
  <si>
    <t>Perfil Profissional</t>
  </si>
  <si>
    <t>Valor Unitário Mensal</t>
  </si>
  <si>
    <t>Valor Total Mensal</t>
  </si>
  <si>
    <t>GRUPO ÚNICO</t>
  </si>
  <si>
    <t>Identificação da Dispensa de Licitação</t>
  </si>
  <si>
    <t xml:space="preserve"> 08038.005012/2024-91</t>
  </si>
  <si>
    <t xml:space="preserve"> 90.092/2024</t>
  </si>
  <si>
    <t>DPU - N1, N2 e Sustentação de Infra</t>
  </si>
  <si>
    <t>Custos com recursos de computação (Telecomunicações)</t>
  </si>
  <si>
    <t>Técnico em manutenção de equipamentos de informática Senior</t>
  </si>
  <si>
    <t>Analista de Apoio à Gestão de Infraestrutura de Tecnologia Informação – Nível Sênior</t>
  </si>
  <si>
    <t>Grupo</t>
  </si>
  <si>
    <t xml:space="preserve">Serviços profissionais técnicos especializados em apoio a gestão 
de Infraestrutura / Perfil vinculado: Analista de Apoio à Gestão de 
Infraestrutura de Tecnologia da Informação – Nível Sênior </t>
  </si>
  <si>
    <t xml:space="preserve">
Serviços profissionais técnicos especializados em apoio a gestão 
de Infraestrutura / Perfil vinculado: Analista de Apoio à Gestão de 
Segurança da Informação e Proteção de Dados – Nível Sênior</t>
  </si>
  <si>
    <t xml:space="preserve">Serviços profissionais técnicos especializados em Métricas / Perfil 
vinculado: Analista de Testes, Qualidade e Métricas de Software – 
Nível Sênior </t>
  </si>
  <si>
    <t xml:space="preserve">Serviços profissionais técnicos especializados em design de inter
faces / Perfil vinculado: Designer Gráfico – Nível Sênior </t>
  </si>
  <si>
    <t>Serviços profissionais técnicos especializados em apoio a gestão / 
Perfil vinculado: Analista de Apoio à Processos de Contratação e 
Gerenciamento de Contratos de TI – Nível Sênior</t>
  </si>
  <si>
    <t xml:space="preserve">
Serviços profissionais técnicos especializados em apoio a gestão / 
Perfil vinculado: Analista de Apoio à Processos de Contratação e 
Gerenciamento de Contratos de TI – Nível Pleno </t>
  </si>
  <si>
    <t xml:space="preserve">Serviços profissionais técnicos especializados em suporte à Gover
nança de TIC / Perfil vinculado: Analista de Apoio a Processos de 
Governança de TI - Nível Sênior </t>
  </si>
  <si>
    <t xml:space="preserve">Serviços profissionais técnicos especializados em Gestão de Proje
tos / Perfil vinculado: Gerente de Projetos – Nível Sênior </t>
  </si>
  <si>
    <t>Serviços profissionais técnicos especializados em Gestão de Proje
tos / Perfil vinculado: Gerente de Projetos – Nível Pleno</t>
  </si>
  <si>
    <t xml:space="preserve">Serviços profissionais técnicos especializados em Análise de Pro
cessos / Perfil vinculado: Analista de Processos de Negócio – Nível 
Sênior </t>
  </si>
  <si>
    <t xml:space="preserve">Serviços profissionais técnicos especializados em Análise de Pro
cessos / Perfil vinculado: Analista de Processos de Negócio – Nível 
Pleno </t>
  </si>
  <si>
    <t>Catser</t>
  </si>
  <si>
    <t>Posto</t>
  </si>
  <si>
    <t>Salário de Referência (B)</t>
  </si>
  <si>
    <t>Custo mensal do Perfil  (C)</t>
  </si>
  <si>
    <t>Quantitativo Total da Equipe</t>
  </si>
  <si>
    <t>Custo Total do Perfil (D)
(D = C X A)</t>
  </si>
  <si>
    <t>Custo Total Mensal (E)</t>
  </si>
  <si>
    <t>Custo Total Anual (E X 12)</t>
  </si>
  <si>
    <t>Outros (AJUDA DE CUSTO)</t>
  </si>
  <si>
    <t>Outros (PLR)</t>
  </si>
  <si>
    <t xml:space="preserve">Custo mensal do Perfil  </t>
  </si>
  <si>
    <t>Incidência Submódulo 2.2 sobre o Submódulo 2.1</t>
  </si>
  <si>
    <t>CUSTO SIMULAÇÃO COM FÓRMULAS</t>
  </si>
  <si>
    <t xml:space="preserve">PROPOSTA SEM FÓRMULAS </t>
  </si>
  <si>
    <t xml:space="preserve">Custo Total do Perfil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</si>
</sst>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&quot;R$&quot;* #,##0.00_-;\-&quot;R$&quot;* #,##0.00_-;_-&quot;R$&quot;* &quot;-&quot;??_-;_-@_-"/>
    <numFmt numFmtId="166" formatCode="0.000%"/>
    <numFmt numFmtId="167" formatCode="_-&quot;R$&quot;\ * #,##0.00000_-;\-&quot;R$&quot;\ * #,##0.00000_-;_-&quot;R$&quot;\ * &quot;-&quot;??_-;_-@_-"/>
    <numFmt numFmtId="168" formatCode="_-&quot;R$&quot;\ * #,##0.0000_-;\-&quot;R$&quot;\ * #,##0.0000_-;_-&quot;R$&quot;\ * &quot;-&quot;??_-;_-@_-"/>
    <numFmt numFmtId="169" formatCode="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9"/>
      <color theme="0"/>
      <name val="Arial"/>
      <family val="2"/>
    </font>
    <font>
      <b/>
      <sz val="9"/>
      <color theme="1"/>
      <name val="Arial"/>
      <family val="2"/>
    </font>
    <font>
      <b/>
      <sz val="9"/>
      <color theme="0"/>
      <name val="Arial"/>
      <family val="2"/>
    </font>
    <font>
      <sz val="8"/>
      <color theme="1"/>
      <name val="Arial"/>
      <family val="2"/>
    </font>
    <font>
      <sz val="9"/>
      <color indexed="81"/>
      <name val="Segoe UI"/>
      <family val="2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</cellStyleXfs>
  <cellXfs count="28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4" fontId="2" fillId="0" borderId="10" xfId="0" applyNumberFormat="1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3" borderId="16" xfId="0" applyFont="1" applyFill="1" applyBorder="1" applyAlignment="1">
      <alignment horizontal="center" vertical="center"/>
    </xf>
    <xf numFmtId="0" fontId="5" fillId="3" borderId="22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center" vertical="center"/>
    </xf>
    <xf numFmtId="164" fontId="2" fillId="4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164" fontId="2" fillId="0" borderId="0" xfId="0" applyNumberFormat="1" applyFont="1" applyAlignment="1" applyProtection="1">
      <alignment horizontal="center" vertical="center"/>
      <protection locked="0"/>
    </xf>
    <xf numFmtId="0" fontId="2" fillId="0" borderId="29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30" xfId="0" applyFont="1" applyBorder="1" applyAlignment="1">
      <alignment horizontal="center" vertical="center"/>
    </xf>
    <xf numFmtId="164" fontId="5" fillId="6" borderId="18" xfId="0" applyNumberFormat="1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0" fontId="2" fillId="0" borderId="31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5" fillId="8" borderId="18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 wrapText="1"/>
    </xf>
    <xf numFmtId="10" fontId="2" fillId="4" borderId="31" xfId="0" applyNumberFormat="1" applyFont="1" applyFill="1" applyBorder="1" applyAlignment="1" applyProtection="1">
      <alignment horizontal="center" vertical="center"/>
      <protection locked="0"/>
    </xf>
    <xf numFmtId="10" fontId="2" fillId="9" borderId="31" xfId="0" applyNumberFormat="1" applyFont="1" applyFill="1" applyBorder="1" applyAlignment="1" applyProtection="1">
      <alignment horizontal="center" vertical="center"/>
      <protection locked="0"/>
    </xf>
    <xf numFmtId="10" fontId="5" fillId="8" borderId="17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2" fillId="0" borderId="13" xfId="0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10" fontId="7" fillId="4" borderId="0" xfId="1" applyNumberFormat="1" applyFont="1" applyFill="1" applyAlignment="1" applyProtection="1">
      <alignment horizontal="center" vertical="center" wrapText="1"/>
      <protection locked="0"/>
    </xf>
    <xf numFmtId="10" fontId="2" fillId="0" borderId="0" xfId="0" applyNumberFormat="1" applyFont="1" applyAlignment="1">
      <alignment vertical="center" wrapText="1"/>
    </xf>
    <xf numFmtId="0" fontId="2" fillId="0" borderId="33" xfId="0" applyFont="1" applyBorder="1" applyAlignment="1">
      <alignment horizontal="left"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164" fontId="5" fillId="10" borderId="18" xfId="0" applyNumberFormat="1" applyFont="1" applyFill="1" applyBorder="1" applyAlignment="1">
      <alignment horizontal="center" vertical="center"/>
    </xf>
    <xf numFmtId="164" fontId="5" fillId="11" borderId="32" xfId="0" applyNumberFormat="1" applyFont="1" applyFill="1" applyBorder="1" applyAlignment="1">
      <alignment horizontal="center" vertical="center"/>
    </xf>
    <xf numFmtId="164" fontId="5" fillId="12" borderId="32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/>
    </xf>
    <xf numFmtId="164" fontId="2" fillId="4" borderId="34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44" fontId="2" fillId="0" borderId="14" xfId="2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0" fillId="0" borderId="31" xfId="0" applyBorder="1"/>
    <xf numFmtId="44" fontId="0" fillId="0" borderId="0" xfId="0" applyNumberFormat="1"/>
    <xf numFmtId="0" fontId="5" fillId="0" borderId="28" xfId="0" applyFont="1" applyBorder="1" applyAlignment="1">
      <alignment horizontal="center" vertical="center" wrapText="1"/>
    </xf>
    <xf numFmtId="10" fontId="0" fillId="0" borderId="31" xfId="0" applyNumberFormat="1" applyBorder="1" applyAlignment="1">
      <alignment horizontal="center"/>
    </xf>
    <xf numFmtId="44" fontId="0" fillId="0" borderId="31" xfId="2" applyFont="1" applyBorder="1"/>
    <xf numFmtId="44" fontId="0" fillId="0" borderId="31" xfId="0" applyNumberFormat="1" applyBorder="1"/>
    <xf numFmtId="0" fontId="0" fillId="0" borderId="6" xfId="0" applyBorder="1"/>
    <xf numFmtId="0" fontId="0" fillId="0" borderId="28" xfId="0" applyBorder="1"/>
    <xf numFmtId="0" fontId="0" fillId="0" borderId="28" xfId="0" applyBorder="1" applyAlignment="1">
      <alignment horizontal="center"/>
    </xf>
    <xf numFmtId="0" fontId="0" fillId="0" borderId="36" xfId="0" applyBorder="1" applyAlignment="1">
      <alignment wrapText="1"/>
    </xf>
    <xf numFmtId="44" fontId="0" fillId="0" borderId="0" xfId="2" applyFont="1"/>
    <xf numFmtId="9" fontId="2" fillId="0" borderId="0" xfId="0" applyNumberFormat="1" applyFont="1" applyAlignment="1">
      <alignment vertical="center" wrapText="1"/>
    </xf>
    <xf numFmtId="9" fontId="0" fillId="0" borderId="31" xfId="0" applyNumberFormat="1" applyBorder="1" applyAlignment="1">
      <alignment horizontal="center"/>
    </xf>
    <xf numFmtId="44" fontId="0" fillId="0" borderId="0" xfId="2" applyFont="1" applyBorder="1"/>
    <xf numFmtId="10" fontId="0" fillId="0" borderId="0" xfId="0" applyNumberFormat="1" applyAlignment="1">
      <alignment horizontal="center"/>
    </xf>
    <xf numFmtId="44" fontId="0" fillId="0" borderId="0" xfId="2" applyFont="1" applyFill="1" applyBorder="1"/>
    <xf numFmtId="0" fontId="0" fillId="0" borderId="31" xfId="2" applyNumberFormat="1" applyFont="1" applyBorder="1"/>
    <xf numFmtId="44" fontId="0" fillId="0" borderId="31" xfId="2" applyFont="1" applyFill="1" applyBorder="1"/>
    <xf numFmtId="44" fontId="11" fillId="0" borderId="31" xfId="0" applyNumberFormat="1" applyFont="1" applyBorder="1"/>
    <xf numFmtId="166" fontId="2" fillId="0" borderId="0" xfId="1" applyNumberFormat="1" applyFont="1" applyAlignment="1">
      <alignment vertical="center" wrapText="1"/>
    </xf>
    <xf numFmtId="9" fontId="0" fillId="0" borderId="0" xfId="0" applyNumberFormat="1"/>
    <xf numFmtId="0" fontId="0" fillId="0" borderId="4" xfId="0" applyBorder="1"/>
    <xf numFmtId="0" fontId="0" fillId="0" borderId="35" xfId="0" applyBorder="1"/>
    <xf numFmtId="0" fontId="0" fillId="0" borderId="25" xfId="0" applyBorder="1" applyAlignment="1">
      <alignment vertical="center"/>
    </xf>
    <xf numFmtId="0" fontId="11" fillId="0" borderId="39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0" fillId="0" borderId="39" xfId="0" applyBorder="1"/>
    <xf numFmtId="44" fontId="0" fillId="0" borderId="14" xfId="2" applyFont="1" applyBorder="1"/>
    <xf numFmtId="44" fontId="11" fillId="0" borderId="14" xfId="2" applyFont="1" applyBorder="1" applyAlignment="1">
      <alignment horizontal="center"/>
    </xf>
    <xf numFmtId="0" fontId="0" fillId="0" borderId="40" xfId="0" applyBorder="1" applyAlignment="1">
      <alignment wrapText="1"/>
    </xf>
    <xf numFmtId="44" fontId="0" fillId="0" borderId="34" xfId="2" applyFont="1" applyBorder="1"/>
    <xf numFmtId="0" fontId="0" fillId="0" borderId="31" xfId="0" applyBorder="1" applyAlignment="1">
      <alignment horizontal="center"/>
    </xf>
    <xf numFmtId="168" fontId="0" fillId="0" borderId="0" xfId="0" applyNumberFormat="1"/>
    <xf numFmtId="0" fontId="7" fillId="0" borderId="0" xfId="0" applyFont="1" applyAlignment="1">
      <alignment horizontal="left" vertical="center" wrapText="1"/>
    </xf>
    <xf numFmtId="0" fontId="5" fillId="8" borderId="15" xfId="0" applyFont="1" applyFill="1" applyBorder="1" applyAlignment="1">
      <alignment vertical="center"/>
    </xf>
    <xf numFmtId="0" fontId="5" fillId="8" borderId="16" xfId="0" applyFont="1" applyFill="1" applyBorder="1" applyAlignment="1">
      <alignment vertical="center"/>
    </xf>
    <xf numFmtId="10" fontId="2" fillId="0" borderId="42" xfId="0" applyNumberFormat="1" applyFont="1" applyBorder="1" applyAlignment="1">
      <alignment horizontal="center" vertical="center"/>
    </xf>
    <xf numFmtId="0" fontId="5" fillId="8" borderId="31" xfId="0" applyFont="1" applyFill="1" applyBorder="1" applyAlignment="1">
      <alignment vertical="center"/>
    </xf>
    <xf numFmtId="10" fontId="5" fillId="8" borderId="31" xfId="0" applyNumberFormat="1" applyFont="1" applyFill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44" fontId="5" fillId="14" borderId="14" xfId="2" applyFont="1" applyFill="1" applyBorder="1" applyAlignment="1">
      <alignment horizontal="center" vertical="center"/>
    </xf>
    <xf numFmtId="10" fontId="5" fillId="14" borderId="31" xfId="0" applyNumberFormat="1" applyFont="1" applyFill="1" applyBorder="1" applyAlignment="1">
      <alignment horizontal="center" vertical="center"/>
    </xf>
    <xf numFmtId="0" fontId="2" fillId="0" borderId="39" xfId="0" applyFont="1" applyBorder="1" applyAlignment="1">
      <alignment horizontal="left" vertical="center"/>
    </xf>
    <xf numFmtId="0" fontId="5" fillId="8" borderId="39" xfId="0" applyFont="1" applyFill="1" applyBorder="1" applyAlignment="1">
      <alignment vertical="center"/>
    </xf>
    <xf numFmtId="44" fontId="5" fillId="14" borderId="34" xfId="2" applyFont="1" applyFill="1" applyBorder="1" applyAlignment="1">
      <alignment horizontal="center" vertical="center"/>
    </xf>
    <xf numFmtId="166" fontId="2" fillId="0" borderId="0" xfId="1" applyNumberFormat="1" applyFont="1" applyAlignment="1">
      <alignment vertical="center"/>
    </xf>
    <xf numFmtId="10" fontId="2" fillId="0" borderId="0" xfId="1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10" fontId="0" fillId="0" borderId="0" xfId="1" applyNumberFormat="1" applyFont="1"/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 wrapText="1"/>
    </xf>
    <xf numFmtId="44" fontId="11" fillId="0" borderId="31" xfId="0" applyNumberFormat="1" applyFont="1" applyBorder="1" applyAlignment="1">
      <alignment vertical="center"/>
    </xf>
    <xf numFmtId="17" fontId="0" fillId="0" borderId="28" xfId="0" applyNumberFormat="1" applyBorder="1"/>
    <xf numFmtId="0" fontId="0" fillId="0" borderId="36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37" xfId="0" applyBorder="1" applyAlignment="1">
      <alignment horizontal="center" vertical="center"/>
    </xf>
    <xf numFmtId="0" fontId="0" fillId="0" borderId="41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0" fillId="0" borderId="0" xfId="2" applyFont="1" applyBorder="1" applyAlignment="1">
      <alignment vertical="center"/>
    </xf>
    <xf numFmtId="169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vertical="center"/>
    </xf>
    <xf numFmtId="44" fontId="0" fillId="0" borderId="3" xfId="2" applyFont="1" applyBorder="1"/>
    <xf numFmtId="0" fontId="0" fillId="0" borderId="6" xfId="0" applyBorder="1" applyAlignment="1">
      <alignment horizontal="center"/>
    </xf>
    <xf numFmtId="44" fontId="0" fillId="0" borderId="28" xfId="2" applyFont="1" applyBorder="1"/>
    <xf numFmtId="44" fontId="0" fillId="0" borderId="36" xfId="2" applyFont="1" applyBorder="1"/>
    <xf numFmtId="44" fontId="0" fillId="0" borderId="3" xfId="0" applyNumberFormat="1" applyBorder="1"/>
    <xf numFmtId="167" fontId="0" fillId="0" borderId="0" xfId="0" applyNumberFormat="1"/>
    <xf numFmtId="0" fontId="0" fillId="0" borderId="42" xfId="0" applyBorder="1" applyAlignment="1">
      <alignment horizontal="center" vertical="center" wrapText="1"/>
    </xf>
    <xf numFmtId="0" fontId="0" fillId="0" borderId="45" xfId="0" applyBorder="1" applyAlignment="1">
      <alignment horizontal="left" vertical="center"/>
    </xf>
    <xf numFmtId="44" fontId="0" fillId="0" borderId="42" xfId="0" applyNumberFormat="1" applyBorder="1" applyAlignment="1">
      <alignment horizontal="center" vertical="center" wrapText="1"/>
    </xf>
    <xf numFmtId="2" fontId="0" fillId="0" borderId="42" xfId="0" applyNumberFormat="1" applyBorder="1" applyAlignment="1">
      <alignment horizontal="center" vertical="center" wrapText="1"/>
    </xf>
    <xf numFmtId="44" fontId="0" fillId="0" borderId="10" xfId="2" applyFont="1" applyBorder="1" applyAlignment="1">
      <alignment horizontal="center" vertical="center" wrapText="1"/>
    </xf>
    <xf numFmtId="44" fontId="11" fillId="0" borderId="31" xfId="0" applyNumberFormat="1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0" fillId="0" borderId="0" xfId="2" applyFont="1" applyBorder="1" applyAlignment="1">
      <alignment horizontal="center" vertical="center" wrapText="1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center" vertical="center" wrapText="1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4" fontId="0" fillId="0" borderId="42" xfId="2" applyFont="1" applyBorder="1" applyAlignment="1">
      <alignment horizontal="center" vertical="center" wrapText="1"/>
    </xf>
    <xf numFmtId="168" fontId="0" fillId="0" borderId="10" xfId="2" applyNumberFormat="1" applyFont="1" applyBorder="1" applyAlignment="1">
      <alignment horizontal="center" vertical="center" wrapText="1"/>
    </xf>
    <xf numFmtId="44" fontId="0" fillId="0" borderId="48" xfId="2" applyFont="1" applyBorder="1" applyAlignment="1">
      <alignment horizontal="center" vertical="center" wrapText="1"/>
    </xf>
    <xf numFmtId="168" fontId="0" fillId="0" borderId="18" xfId="2" applyNumberFormat="1" applyFont="1" applyBorder="1" applyAlignment="1">
      <alignment horizontal="center" vertical="center" wrapText="1"/>
    </xf>
    <xf numFmtId="168" fontId="0" fillId="0" borderId="3" xfId="2" applyNumberFormat="1" applyFont="1" applyBorder="1"/>
    <xf numFmtId="44" fontId="0" fillId="0" borderId="31" xfId="0" applyNumberFormat="1" applyBorder="1" applyAlignment="1">
      <alignment horizontal="center" vertical="center" wrapText="1"/>
    </xf>
    <xf numFmtId="2" fontId="0" fillId="0" borderId="31" xfId="0" applyNumberFormat="1" applyBorder="1" applyAlignment="1">
      <alignment horizontal="center" vertical="center" wrapText="1"/>
    </xf>
    <xf numFmtId="44" fontId="0" fillId="0" borderId="31" xfId="2" applyFont="1" applyBorder="1" applyAlignment="1">
      <alignment horizontal="center" vertical="center" wrapText="1"/>
    </xf>
    <xf numFmtId="168" fontId="0" fillId="0" borderId="14" xfId="2" applyNumberFormat="1" applyFont="1" applyBorder="1" applyAlignment="1">
      <alignment horizontal="center" vertical="center" wrapText="1"/>
    </xf>
    <xf numFmtId="44" fontId="0" fillId="0" borderId="43" xfId="0" applyNumberFormat="1" applyBorder="1" applyAlignment="1">
      <alignment horizontal="center" vertical="center" wrapText="1"/>
    </xf>
    <xf numFmtId="2" fontId="0" fillId="0" borderId="43" xfId="0" applyNumberFormat="1" applyBorder="1" applyAlignment="1">
      <alignment horizontal="center" vertical="center" wrapText="1"/>
    </xf>
    <xf numFmtId="44" fontId="0" fillId="0" borderId="43" xfId="2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68" fontId="0" fillId="0" borderId="34" xfId="2" applyNumberFormat="1" applyFont="1" applyBorder="1" applyAlignment="1">
      <alignment horizontal="center" vertical="center" wrapText="1"/>
    </xf>
    <xf numFmtId="44" fontId="2" fillId="0" borderId="0" xfId="2" applyFont="1" applyBorder="1" applyAlignment="1">
      <alignment horizontal="center" vertical="center"/>
    </xf>
    <xf numFmtId="10" fontId="2" fillId="0" borderId="0" xfId="1" applyNumberFormat="1" applyFont="1" applyAlignment="1">
      <alignment vertical="center"/>
    </xf>
    <xf numFmtId="10" fontId="5" fillId="8" borderId="43" xfId="0" applyNumberFormat="1" applyFont="1" applyFill="1" applyBorder="1" applyAlignment="1">
      <alignment horizontal="center" vertical="center"/>
    </xf>
    <xf numFmtId="10" fontId="2" fillId="0" borderId="0" xfId="0" applyNumberFormat="1" applyFont="1" applyAlignment="1">
      <alignment vertical="center"/>
    </xf>
    <xf numFmtId="0" fontId="0" fillId="0" borderId="46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11" fillId="0" borderId="31" xfId="0" applyFont="1" applyBorder="1" applyAlignment="1">
      <alignment horizontal="left" vertical="center" wrapText="1"/>
    </xf>
    <xf numFmtId="0" fontId="0" fillId="0" borderId="31" xfId="0" applyBorder="1" applyAlignment="1">
      <alignment horizontal="left" wrapText="1"/>
    </xf>
    <xf numFmtId="0" fontId="11" fillId="0" borderId="31" xfId="4" applyNumberFormat="1" applyFont="1" applyBorder="1" applyAlignment="1">
      <alignment horizontal="center" vertical="center"/>
    </xf>
    <xf numFmtId="10" fontId="0" fillId="0" borderId="0" xfId="0" applyNumberFormat="1"/>
    <xf numFmtId="164" fontId="11" fillId="0" borderId="31" xfId="0" applyNumberFormat="1" applyFont="1" applyBorder="1" applyAlignment="1">
      <alignment horizontal="center" vertical="center" wrapText="1"/>
    </xf>
    <xf numFmtId="164" fontId="2" fillId="0" borderId="14" xfId="2" applyNumberFormat="1" applyFont="1" applyBorder="1" applyAlignment="1">
      <alignment horizontal="center" vertical="center"/>
    </xf>
    <xf numFmtId="44" fontId="11" fillId="0" borderId="0" xfId="0" applyNumberFormat="1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44" fontId="11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14" fillId="0" borderId="31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0" fillId="0" borderId="31" xfId="0" applyBorder="1" applyAlignment="1">
      <alignment horizontal="center"/>
    </xf>
    <xf numFmtId="44" fontId="0" fillId="0" borderId="31" xfId="2" applyFont="1" applyBorder="1" applyAlignment="1">
      <alignment horizontal="center"/>
    </xf>
    <xf numFmtId="44" fontId="12" fillId="0" borderId="31" xfId="0" applyNumberFormat="1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1" xfId="0" applyFont="1" applyBorder="1" applyAlignment="1">
      <alignment horizontal="right"/>
    </xf>
    <xf numFmtId="0" fontId="10" fillId="0" borderId="31" xfId="0" applyFont="1" applyBorder="1" applyAlignment="1">
      <alignment horizontal="center"/>
    </xf>
    <xf numFmtId="0" fontId="0" fillId="0" borderId="31" xfId="0" applyBorder="1" applyAlignment="1">
      <alignment horizontal="center" vertical="center"/>
    </xf>
    <xf numFmtId="164" fontId="15" fillId="13" borderId="8" xfId="0" applyNumberFormat="1" applyFont="1" applyFill="1" applyBorder="1" applyAlignment="1">
      <alignment horizontal="center" vertical="center"/>
    </xf>
    <xf numFmtId="164" fontId="15" fillId="13" borderId="9" xfId="0" applyNumberFormat="1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left" vertical="center"/>
    </xf>
    <xf numFmtId="0" fontId="5" fillId="6" borderId="16" xfId="0" applyFont="1" applyFill="1" applyBorder="1" applyAlignment="1">
      <alignment horizontal="left" vertical="center"/>
    </xf>
    <xf numFmtId="0" fontId="5" fillId="6" borderId="17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2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6" fillId="5" borderId="37" xfId="0" applyFont="1" applyFill="1" applyBorder="1" applyAlignment="1">
      <alignment horizontal="center" vertical="center"/>
    </xf>
    <xf numFmtId="0" fontId="6" fillId="5" borderId="41" xfId="0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2" fillId="7" borderId="39" xfId="0" applyFont="1" applyFill="1" applyBorder="1" applyAlignment="1">
      <alignment horizontal="center" vertical="center"/>
    </xf>
    <xf numFmtId="0" fontId="2" fillId="7" borderId="31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0" fontId="5" fillId="14" borderId="40" xfId="0" applyFont="1" applyFill="1" applyBorder="1" applyAlignment="1">
      <alignment horizontal="left" vertical="center"/>
    </xf>
    <xf numFmtId="0" fontId="5" fillId="14" borderId="43" xfId="0" applyFont="1" applyFill="1" applyBorder="1" applyAlignment="1">
      <alignment horizontal="left" vertical="center"/>
    </xf>
    <xf numFmtId="0" fontId="2" fillId="7" borderId="19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left" vertical="center"/>
    </xf>
    <xf numFmtId="0" fontId="5" fillId="8" borderId="17" xfId="0" applyFont="1" applyFill="1" applyBorder="1" applyAlignment="1">
      <alignment horizontal="left" vertical="center"/>
    </xf>
    <xf numFmtId="0" fontId="5" fillId="8" borderId="16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5" fillId="3" borderId="16" xfId="0" applyFont="1" applyFill="1" applyBorder="1" applyAlignment="1" applyProtection="1">
      <alignment horizontal="center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4" borderId="0" xfId="0" applyFont="1" applyFill="1" applyAlignment="1" applyProtection="1">
      <alignment horizontal="center" vertical="center" wrapText="1"/>
      <protection locked="0"/>
    </xf>
    <xf numFmtId="10" fontId="7" fillId="4" borderId="0" xfId="1" applyNumberFormat="1" applyFont="1" applyFill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5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5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44" fontId="0" fillId="0" borderId="4" xfId="2" applyFont="1" applyBorder="1" applyAlignment="1">
      <alignment horizontal="left"/>
    </xf>
    <xf numFmtId="44" fontId="0" fillId="0" borderId="5" xfId="2" applyFont="1" applyBorder="1" applyAlignment="1">
      <alignment horizontal="left"/>
    </xf>
    <xf numFmtId="44" fontId="0" fillId="0" borderId="35" xfId="2" applyFont="1" applyBorder="1" applyAlignment="1">
      <alignment horizontal="left"/>
    </xf>
    <xf numFmtId="44" fontId="0" fillId="0" borderId="0" xfId="2" applyFont="1" applyBorder="1" applyAlignment="1">
      <alignment horizontal="left"/>
    </xf>
    <xf numFmtId="44" fontId="0" fillId="0" borderId="25" xfId="2" applyFont="1" applyBorder="1" applyAlignment="1">
      <alignment horizontal="left"/>
    </xf>
    <xf numFmtId="44" fontId="0" fillId="0" borderId="44" xfId="2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35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28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12" fillId="0" borderId="28" xfId="0" applyFont="1" applyBorder="1" applyAlignment="1">
      <alignment horizontal="center"/>
    </xf>
    <xf numFmtId="44" fontId="12" fillId="0" borderId="24" xfId="0" applyNumberFormat="1" applyFont="1" applyBorder="1" applyAlignment="1">
      <alignment horizontal="center"/>
    </xf>
    <xf numFmtId="44" fontId="12" fillId="0" borderId="13" xfId="0" applyNumberFormat="1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25" xfId="0" applyFont="1" applyBorder="1" applyAlignment="1">
      <alignment horizontal="left"/>
    </xf>
    <xf numFmtId="0" fontId="12" fillId="0" borderId="44" xfId="0" applyFont="1" applyBorder="1" applyAlignment="1">
      <alignment horizontal="left"/>
    </xf>
    <xf numFmtId="0" fontId="12" fillId="0" borderId="36" xfId="0" applyFont="1" applyBorder="1" applyAlignment="1">
      <alignment horizontal="left"/>
    </xf>
    <xf numFmtId="0" fontId="12" fillId="0" borderId="44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0" fontId="0" fillId="0" borderId="46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</cellXfs>
  <cellStyles count="7">
    <cellStyle name="Moeda" xfId="2" builtinId="4"/>
    <cellStyle name="Moeda 2" xfId="3" xr:uid="{749260D5-5DC0-4F7E-842B-4621C0A5068F}"/>
    <cellStyle name="Moeda 2 3" xfId="5" xr:uid="{18BC0F92-0354-476C-A6FB-B71346BF99A2}"/>
    <cellStyle name="Normal" xfId="0" builtinId="0"/>
    <cellStyle name="Normal 3" xfId="6" xr:uid="{6FA9A16D-77B7-4750-B9C9-D0B567C0C6E2}"/>
    <cellStyle name="Porcentagem" xfId="1" builtinId="5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FD540-49C2-47AD-B3AC-96C88BD2213D}">
  <dimension ref="C4:K19"/>
  <sheetViews>
    <sheetView workbookViewId="0">
      <selection activeCell="G15" sqref="G15"/>
    </sheetView>
  </sheetViews>
  <sheetFormatPr defaultRowHeight="14.4" x14ac:dyDescent="0.3"/>
  <cols>
    <col min="3" max="3" width="14.88671875" bestFit="1" customWidth="1"/>
    <col min="4" max="4" width="14.88671875" customWidth="1"/>
    <col min="5" max="5" width="12.33203125" bestFit="1" customWidth="1"/>
    <col min="6" max="6" width="15.88671875" bestFit="1" customWidth="1"/>
    <col min="8" max="8" width="12.109375" bestFit="1" customWidth="1"/>
  </cols>
  <sheetData>
    <row r="4" spans="3:11" x14ac:dyDescent="0.3">
      <c r="D4" t="s">
        <v>170</v>
      </c>
      <c r="E4" s="108" t="s">
        <v>171</v>
      </c>
      <c r="F4" t="s">
        <v>173</v>
      </c>
    </row>
    <row r="5" spans="3:11" x14ac:dyDescent="0.3">
      <c r="C5" t="s">
        <v>167</v>
      </c>
      <c r="D5" s="69">
        <v>14605</v>
      </c>
      <c r="E5" s="60">
        <f>D5/24</f>
        <v>608.54166666666663</v>
      </c>
      <c r="F5" s="60">
        <f>E5/11.6</f>
        <v>52.460488505747122</v>
      </c>
      <c r="H5" s="69"/>
    </row>
    <row r="6" spans="3:11" x14ac:dyDescent="0.3">
      <c r="C6" t="s">
        <v>168</v>
      </c>
      <c r="D6" s="69">
        <v>5686</v>
      </c>
      <c r="E6" s="60">
        <f t="shared" ref="E6:E7" si="0">D6/24</f>
        <v>236.91666666666666</v>
      </c>
      <c r="F6" s="60">
        <f t="shared" ref="F6:F8" si="1">E6/11.6</f>
        <v>20.423850574712642</v>
      </c>
      <c r="H6" s="69"/>
      <c r="I6">
        <v>4.0999999999999996</v>
      </c>
      <c r="J6">
        <v>7.5</v>
      </c>
      <c r="K6">
        <f>SUM(I6:J6)</f>
        <v>11.6</v>
      </c>
    </row>
    <row r="7" spans="3:11" x14ac:dyDescent="0.3">
      <c r="C7" t="s">
        <v>169</v>
      </c>
      <c r="D7" s="69">
        <v>4505</v>
      </c>
      <c r="E7" s="60">
        <f t="shared" si="0"/>
        <v>187.70833333333334</v>
      </c>
      <c r="F7" s="60">
        <f t="shared" si="1"/>
        <v>16.181752873563219</v>
      </c>
      <c r="H7" s="69"/>
    </row>
    <row r="8" spans="3:11" x14ac:dyDescent="0.3">
      <c r="C8" t="s">
        <v>172</v>
      </c>
      <c r="D8" s="69">
        <v>65023</v>
      </c>
      <c r="E8" s="60">
        <f>D8/24</f>
        <v>2709.2916666666665</v>
      </c>
      <c r="F8" s="60">
        <f t="shared" si="1"/>
        <v>233.5596264367816</v>
      </c>
    </row>
    <row r="10" spans="3:11" x14ac:dyDescent="0.3">
      <c r="C10" t="s">
        <v>174</v>
      </c>
      <c r="F10" s="60">
        <f>SUM(F5:F8)</f>
        <v>322.62571839080459</v>
      </c>
    </row>
    <row r="12" spans="3:11" x14ac:dyDescent="0.3">
      <c r="C12" t="s">
        <v>175</v>
      </c>
      <c r="D12">
        <v>3283</v>
      </c>
      <c r="E12">
        <f>D12/24</f>
        <v>136.79166666666666</v>
      </c>
      <c r="F12">
        <f>E12/7.5</f>
        <v>18.238888888888887</v>
      </c>
    </row>
    <row r="13" spans="3:11" x14ac:dyDescent="0.3">
      <c r="C13" t="s">
        <v>176</v>
      </c>
      <c r="D13">
        <v>76318</v>
      </c>
      <c r="E13">
        <f>D13/24</f>
        <v>3179.9166666666665</v>
      </c>
      <c r="F13">
        <f>E13/7.5</f>
        <v>423.98888888888888</v>
      </c>
    </row>
    <row r="15" spans="3:11" x14ac:dyDescent="0.3">
      <c r="C15" t="s">
        <v>111</v>
      </c>
      <c r="F15">
        <f>SUM(F12:F13)</f>
        <v>442.22777777777776</v>
      </c>
    </row>
    <row r="19" spans="5:5" x14ac:dyDescent="0.3">
      <c r="E19" s="60"/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FD7CB-921E-4985-AC81-DB9B38D7A39C}">
  <sheetPr codeName="Planilha9">
    <pageSetUpPr fitToPage="1"/>
  </sheetPr>
  <dimension ref="A1:Q95"/>
  <sheetViews>
    <sheetView topLeftCell="A60" zoomScaleNormal="100" workbookViewId="0">
      <selection activeCell="D64" sqref="D64"/>
    </sheetView>
  </sheetViews>
  <sheetFormatPr defaultColWidth="9.109375" defaultRowHeight="11.4" x14ac:dyDescent="0.3"/>
  <cols>
    <col min="1" max="1" width="1.6640625" style="2" customWidth="1"/>
    <col min="2" max="2" width="13.6640625" style="1" customWidth="1"/>
    <col min="3" max="3" width="59.44140625" style="1" customWidth="1"/>
    <col min="4" max="4" width="12.109375" style="1" customWidth="1"/>
    <col min="5" max="5" width="15.44140625" style="1" bestFit="1" customWidth="1"/>
    <col min="6" max="6" width="1.6640625" style="1" customWidth="1"/>
    <col min="7" max="7" width="1.6640625" style="2" customWidth="1"/>
    <col min="8" max="8" width="18.33203125" style="2" customWidth="1"/>
    <col min="9" max="9" width="11.6640625" style="2" bestFit="1" customWidth="1"/>
    <col min="10" max="10" width="9.109375" style="2" customWidth="1"/>
    <col min="11" max="11" width="27.109375" style="2" customWidth="1"/>
    <col min="12" max="12" width="9.109375" style="2" customWidth="1"/>
    <col min="13" max="13" width="18.5546875" style="2" customWidth="1"/>
    <col min="14" max="14" width="13.109375" style="2" customWidth="1"/>
    <col min="15" max="19" width="9.109375" style="2" customWidth="1"/>
    <col min="20" max="16384" width="9.109375" style="2"/>
  </cols>
  <sheetData>
    <row r="1" spans="2:16" ht="14.25" customHeight="1" thickBot="1" x14ac:dyDescent="0.35"/>
    <row r="2" spans="2:16" s="1" customFormat="1" ht="22.5" customHeight="1" thickBot="1" x14ac:dyDescent="0.35">
      <c r="B2" s="239" t="s">
        <v>73</v>
      </c>
      <c r="C2" s="240"/>
      <c r="D2" s="240"/>
      <c r="E2" s="241"/>
      <c r="G2" s="3"/>
      <c r="J2" s="3"/>
    </row>
    <row r="3" spans="2:16" ht="14.25" customHeight="1" thickBot="1" x14ac:dyDescent="0.35">
      <c r="J3" s="3"/>
    </row>
    <row r="4" spans="2:16" ht="14.25" customHeight="1" x14ac:dyDescent="0.3">
      <c r="B4" s="218" t="s">
        <v>2</v>
      </c>
      <c r="C4" s="219"/>
      <c r="D4" s="219"/>
      <c r="E4" s="220"/>
      <c r="J4" s="3"/>
    </row>
    <row r="5" spans="2:16" ht="14.25" customHeight="1" x14ac:dyDescent="0.3">
      <c r="B5" s="242" t="s">
        <v>3</v>
      </c>
      <c r="C5" s="243"/>
      <c r="D5" s="244"/>
      <c r="E5" s="4"/>
      <c r="J5" s="3"/>
    </row>
    <row r="6" spans="2:16" ht="14.25" customHeight="1" x14ac:dyDescent="0.3">
      <c r="B6" s="201" t="s">
        <v>4</v>
      </c>
      <c r="C6" s="202"/>
      <c r="D6" s="203"/>
      <c r="E6" s="5" t="s">
        <v>5</v>
      </c>
      <c r="J6" s="3"/>
    </row>
    <row r="7" spans="2:16" ht="14.25" customHeight="1" x14ac:dyDescent="0.3">
      <c r="B7" s="201" t="s">
        <v>6</v>
      </c>
      <c r="C7" s="202"/>
      <c r="D7" s="203"/>
      <c r="E7" s="5" t="s">
        <v>148</v>
      </c>
      <c r="J7" s="3"/>
    </row>
    <row r="8" spans="2:16" ht="14.25" customHeight="1" thickBot="1" x14ac:dyDescent="0.35">
      <c r="B8" s="236" t="s">
        <v>7</v>
      </c>
      <c r="C8" s="237"/>
      <c r="D8" s="238"/>
      <c r="E8" s="6">
        <v>12</v>
      </c>
      <c r="J8" s="3"/>
    </row>
    <row r="9" spans="2:16" ht="14.25" customHeight="1" thickBot="1" x14ac:dyDescent="0.35">
      <c r="J9" s="3"/>
    </row>
    <row r="10" spans="2:16" ht="14.25" customHeight="1" thickBot="1" x14ac:dyDescent="0.35">
      <c r="B10" s="218" t="s">
        <v>8</v>
      </c>
      <c r="C10" s="219"/>
      <c r="D10" s="219"/>
      <c r="E10" s="220"/>
      <c r="J10" s="3"/>
    </row>
    <row r="11" spans="2:16" s="10" customFormat="1" ht="33" customHeight="1" x14ac:dyDescent="0.3">
      <c r="B11" s="221" t="s">
        <v>9</v>
      </c>
      <c r="C11" s="222"/>
      <c r="D11" s="7" t="s">
        <v>10</v>
      </c>
      <c r="E11" s="8" t="s">
        <v>11</v>
      </c>
      <c r="F11" s="9"/>
      <c r="I11" s="11"/>
      <c r="J11" s="11"/>
      <c r="K11" s="11"/>
      <c r="L11" s="11"/>
      <c r="M11" s="11">
        <f>'1'!E91</f>
        <v>23924.14823739705</v>
      </c>
      <c r="N11" s="11"/>
      <c r="O11" s="11"/>
      <c r="P11" s="11"/>
    </row>
    <row r="12" spans="2:16" s="10" customFormat="1" ht="12" x14ac:dyDescent="0.3">
      <c r="B12" s="234" t="s">
        <v>91</v>
      </c>
      <c r="C12" s="235"/>
      <c r="D12" s="235"/>
      <c r="E12" s="61" t="s">
        <v>95</v>
      </c>
      <c r="F12" s="9"/>
      <c r="I12" s="11"/>
      <c r="J12" s="11"/>
      <c r="K12" s="11"/>
      <c r="L12" s="11"/>
      <c r="M12" s="11"/>
      <c r="N12" s="11"/>
      <c r="O12" s="11"/>
      <c r="P12" s="11"/>
    </row>
    <row r="13" spans="2:16" ht="14.25" customHeight="1" thickBot="1" x14ac:dyDescent="0.35">
      <c r="B13" s="223" t="s">
        <v>226</v>
      </c>
      <c r="C13" s="224"/>
      <c r="D13" s="12" t="s">
        <v>12</v>
      </c>
      <c r="E13" s="13">
        <v>5</v>
      </c>
      <c r="F13" s="14"/>
      <c r="H13" s="15"/>
      <c r="I13" s="11"/>
      <c r="J13" s="11"/>
      <c r="K13" s="11"/>
      <c r="L13" s="11"/>
      <c r="M13" s="11"/>
      <c r="N13" s="11"/>
      <c r="O13" s="11"/>
      <c r="P13" s="11"/>
    </row>
    <row r="14" spans="2:16" ht="14.25" customHeight="1" thickBot="1" x14ac:dyDescent="0.35">
      <c r="H14" s="11"/>
      <c r="I14" s="11"/>
      <c r="J14" s="11"/>
      <c r="K14" s="11"/>
      <c r="L14" s="11"/>
      <c r="M14" s="11"/>
      <c r="N14" s="11"/>
      <c r="O14" s="11"/>
      <c r="P14" s="11"/>
    </row>
    <row r="15" spans="2:16" ht="14.25" customHeight="1" x14ac:dyDescent="0.3">
      <c r="B15" s="218" t="s">
        <v>13</v>
      </c>
      <c r="C15" s="219"/>
      <c r="D15" s="219"/>
      <c r="E15" s="220"/>
      <c r="H15" s="11"/>
      <c r="I15" s="11"/>
      <c r="J15" s="11"/>
      <c r="K15" s="11"/>
      <c r="L15" s="11"/>
      <c r="M15" s="11"/>
      <c r="N15" s="11"/>
      <c r="O15" s="11"/>
      <c r="P15" s="11"/>
    </row>
    <row r="16" spans="2:16" ht="14.25" customHeight="1" x14ac:dyDescent="0.3">
      <c r="B16" s="16">
        <v>1</v>
      </c>
      <c r="C16" s="225" t="s">
        <v>14</v>
      </c>
      <c r="D16" s="226"/>
      <c r="E16" s="17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14.25" customHeight="1" x14ac:dyDescent="0.3">
      <c r="B17" s="18">
        <v>2</v>
      </c>
      <c r="C17" s="227" t="s">
        <v>15</v>
      </c>
      <c r="D17" s="228"/>
      <c r="E17" s="17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14.25" customHeight="1" x14ac:dyDescent="0.3">
      <c r="B18" s="18">
        <v>3</v>
      </c>
      <c r="C18" s="227" t="s">
        <v>16</v>
      </c>
      <c r="D18" s="228"/>
      <c r="E18" s="17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14.25" customHeight="1" thickBot="1" x14ac:dyDescent="0.35">
      <c r="B19" s="19">
        <v>4</v>
      </c>
      <c r="C19" s="229" t="s">
        <v>17</v>
      </c>
      <c r="D19" s="230"/>
      <c r="E19" s="55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4.25" customHeight="1" thickBot="1" x14ac:dyDescent="0.35"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4.25" customHeight="1" x14ac:dyDescent="0.3">
      <c r="B21" s="231" t="s">
        <v>18</v>
      </c>
      <c r="C21" s="232"/>
      <c r="D21" s="232"/>
      <c r="E21" s="233"/>
      <c r="F21" s="20"/>
      <c r="H21" s="11"/>
      <c r="I21" s="11"/>
      <c r="J21" s="11"/>
      <c r="K21" s="11"/>
      <c r="L21" s="11"/>
      <c r="M21" s="11">
        <f>'11'!E91</f>
        <v>16655.190792319532</v>
      </c>
      <c r="N21" s="11"/>
      <c r="O21" s="11"/>
      <c r="P21" s="11"/>
    </row>
    <row r="22" spans="1:16" ht="14.25" customHeight="1" x14ac:dyDescent="0.3">
      <c r="B22" s="21" t="s">
        <v>19</v>
      </c>
      <c r="C22" s="22"/>
      <c r="D22" s="23"/>
      <c r="E22" s="17">
        <v>9026.91</v>
      </c>
      <c r="F22" s="24"/>
      <c r="H22" s="34"/>
      <c r="I22" s="34"/>
      <c r="J22" s="11"/>
      <c r="K22" s="11"/>
      <c r="L22" s="11"/>
      <c r="M22" s="11"/>
      <c r="N22" s="11"/>
      <c r="O22" s="11"/>
      <c r="P22" s="11"/>
    </row>
    <row r="23" spans="1:16" ht="14.25" customHeight="1" x14ac:dyDescent="0.3">
      <c r="B23" s="25" t="s">
        <v>74</v>
      </c>
      <c r="C23" s="26"/>
      <c r="D23" s="27"/>
      <c r="E23" s="17"/>
      <c r="F23" s="24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14.25" customHeight="1" x14ac:dyDescent="0.3">
      <c r="B24" s="25" t="s">
        <v>20</v>
      </c>
      <c r="C24" s="26"/>
      <c r="D24" s="27"/>
      <c r="E24" s="17"/>
      <c r="F24" s="24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14.25" customHeight="1" thickBot="1" x14ac:dyDescent="0.35">
      <c r="B25" s="191" t="s">
        <v>21</v>
      </c>
      <c r="C25" s="192"/>
      <c r="D25" s="193"/>
      <c r="E25" s="28">
        <v>9026.91</v>
      </c>
      <c r="F25" s="29"/>
      <c r="H25" s="11"/>
      <c r="I25" s="11"/>
      <c r="J25" s="11"/>
      <c r="K25" s="11"/>
      <c r="L25" s="11"/>
      <c r="M25" s="11"/>
      <c r="N25" s="11"/>
      <c r="O25" s="11"/>
      <c r="P25" s="11"/>
    </row>
    <row r="26" spans="1:16" ht="14.25" customHeight="1" thickBot="1" x14ac:dyDescent="0.35"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14.25" customHeight="1" thickBot="1" x14ac:dyDescent="0.35">
      <c r="B27" s="194" t="s">
        <v>22</v>
      </c>
      <c r="C27" s="195"/>
      <c r="D27" s="195"/>
      <c r="E27" s="196"/>
      <c r="F27" s="20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14.25" customHeight="1" x14ac:dyDescent="0.3">
      <c r="B28" s="212" t="s">
        <v>23</v>
      </c>
      <c r="C28" s="213"/>
      <c r="D28" s="213"/>
      <c r="E28" s="214"/>
      <c r="H28" s="11"/>
      <c r="I28" s="11"/>
      <c r="J28" s="11"/>
      <c r="K28" s="11"/>
      <c r="L28" s="11"/>
      <c r="M28" s="11"/>
      <c r="N28" s="11"/>
      <c r="O28" s="11"/>
      <c r="P28" s="11"/>
    </row>
    <row r="29" spans="1:16" ht="14.25" customHeight="1" x14ac:dyDescent="0.3">
      <c r="A29" s="2" t="s">
        <v>24</v>
      </c>
      <c r="B29" s="21" t="s">
        <v>25</v>
      </c>
      <c r="C29" s="22"/>
      <c r="D29" s="30">
        <v>8.3299999999999999E-2</v>
      </c>
      <c r="E29" s="57">
        <f>D29*E22</f>
        <v>751.94160299999999</v>
      </c>
      <c r="F29" s="32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14.25" customHeight="1" x14ac:dyDescent="0.3">
      <c r="A30" s="2" t="s">
        <v>26</v>
      </c>
      <c r="B30" s="21" t="s">
        <v>27</v>
      </c>
      <c r="C30" s="22"/>
      <c r="D30" s="30">
        <v>0.121</v>
      </c>
      <c r="E30" s="57">
        <f>D30*E25</f>
        <v>1092.25611</v>
      </c>
      <c r="F30" s="32"/>
      <c r="H30" s="11"/>
      <c r="I30" s="34"/>
      <c r="J30" s="11"/>
      <c r="K30" s="11"/>
      <c r="L30" s="11"/>
      <c r="M30" s="11"/>
      <c r="N30" s="11"/>
      <c r="O30" s="11"/>
      <c r="P30" s="11"/>
    </row>
    <row r="31" spans="1:16" ht="14.25" customHeight="1" thickBot="1" x14ac:dyDescent="0.35">
      <c r="B31" s="93" t="s">
        <v>163</v>
      </c>
      <c r="C31" s="94"/>
      <c r="D31" s="163">
        <f>D29+D30</f>
        <v>0.20429999999999998</v>
      </c>
      <c r="E31" s="33">
        <f>SUM(E29:E30)</f>
        <v>1844.197713</v>
      </c>
      <c r="F31" s="29"/>
      <c r="H31" s="11"/>
      <c r="I31" s="11"/>
      <c r="J31" s="11"/>
      <c r="K31" s="11"/>
      <c r="L31" s="11"/>
      <c r="M31" s="11"/>
      <c r="N31" s="11"/>
      <c r="O31" s="11"/>
      <c r="P31" s="11"/>
    </row>
    <row r="32" spans="1:16" ht="14.25" customHeight="1" x14ac:dyDescent="0.3">
      <c r="B32" s="21" t="s">
        <v>250</v>
      </c>
      <c r="C32" s="22"/>
      <c r="D32" s="95">
        <f>D43*D31</f>
        <v>4.0451890319999996E-2</v>
      </c>
      <c r="E32" s="57">
        <f>D32*E25</f>
        <v>365.15557324851113</v>
      </c>
      <c r="F32" s="29"/>
      <c r="H32" s="11"/>
      <c r="I32" s="11"/>
      <c r="J32" s="11"/>
      <c r="K32" s="11"/>
      <c r="L32" s="11"/>
      <c r="M32" s="11"/>
      <c r="N32" s="11"/>
      <c r="O32" s="11"/>
      <c r="P32" s="11"/>
    </row>
    <row r="33" spans="1:16" ht="14.25" customHeight="1" thickBot="1" x14ac:dyDescent="0.35">
      <c r="B33" s="93" t="s">
        <v>28</v>
      </c>
      <c r="C33" s="94"/>
      <c r="D33" s="97">
        <f>SUM(D31+D32)</f>
        <v>0.24475189031999997</v>
      </c>
      <c r="E33" s="33">
        <f>SUM(E31:E32)</f>
        <v>2209.3532862485113</v>
      </c>
      <c r="F33" s="29"/>
      <c r="H33" s="34"/>
      <c r="I33" s="11"/>
      <c r="J33" s="11"/>
      <c r="K33" s="11"/>
      <c r="L33" s="11"/>
      <c r="M33" s="11"/>
      <c r="N33" s="11"/>
      <c r="O33" s="11"/>
      <c r="P33" s="11"/>
    </row>
    <row r="34" spans="1:16" ht="14.25" customHeight="1" x14ac:dyDescent="0.3">
      <c r="B34" s="212" t="s">
        <v>29</v>
      </c>
      <c r="C34" s="213"/>
      <c r="D34" s="213"/>
      <c r="E34" s="214"/>
      <c r="H34" s="11"/>
      <c r="I34" s="11"/>
      <c r="J34" s="11"/>
      <c r="K34" s="11"/>
      <c r="L34" s="11"/>
      <c r="M34" s="11"/>
      <c r="N34" s="11"/>
      <c r="O34" s="11"/>
      <c r="P34" s="11"/>
    </row>
    <row r="35" spans="1:16" ht="14.25" customHeight="1" x14ac:dyDescent="0.3">
      <c r="A35" s="2" t="s">
        <v>24</v>
      </c>
      <c r="B35" s="21" t="s">
        <v>30</v>
      </c>
      <c r="C35" s="22"/>
      <c r="D35" s="30">
        <v>0.05</v>
      </c>
      <c r="E35" s="57">
        <f>D35*E$25</f>
        <v>451.34550000000002</v>
      </c>
      <c r="F35" s="32"/>
      <c r="H35" s="11"/>
      <c r="I35" s="11"/>
      <c r="J35" s="11"/>
      <c r="K35" s="11"/>
      <c r="L35" s="11"/>
      <c r="M35" s="11"/>
      <c r="N35" s="11"/>
      <c r="O35" s="11"/>
      <c r="P35" s="11"/>
    </row>
    <row r="36" spans="1:16" ht="14.25" customHeight="1" x14ac:dyDescent="0.3">
      <c r="A36" s="2" t="s">
        <v>26</v>
      </c>
      <c r="B36" s="21" t="s">
        <v>31</v>
      </c>
      <c r="C36" s="22"/>
      <c r="D36" s="30">
        <v>2.5002400000000001E-2</v>
      </c>
      <c r="E36" s="57">
        <f>ROUND(D36*E$25,2)</f>
        <v>225.69</v>
      </c>
      <c r="F36" s="32"/>
      <c r="H36" s="34"/>
      <c r="I36" s="11"/>
      <c r="J36" s="11"/>
      <c r="K36" s="11"/>
      <c r="L36" s="11"/>
      <c r="M36" s="11"/>
      <c r="N36" s="11"/>
      <c r="O36" s="11"/>
      <c r="P36" s="11"/>
    </row>
    <row r="37" spans="1:16" ht="14.25" customHeight="1" x14ac:dyDescent="0.3">
      <c r="A37" s="2" t="s">
        <v>32</v>
      </c>
      <c r="B37" s="21" t="s">
        <v>33</v>
      </c>
      <c r="C37" s="22"/>
      <c r="D37" s="35">
        <v>0.01</v>
      </c>
      <c r="E37" s="57">
        <f t="shared" ref="E37:E42" si="0">D37*E$25</f>
        <v>90.269099999999995</v>
      </c>
      <c r="F37" s="32"/>
      <c r="H37" s="11"/>
      <c r="I37" s="11"/>
      <c r="J37" s="11"/>
      <c r="K37" s="11"/>
      <c r="L37" s="11"/>
      <c r="M37" s="11"/>
      <c r="N37" s="11"/>
      <c r="O37" s="11"/>
      <c r="P37" s="11"/>
    </row>
    <row r="38" spans="1:16" ht="14.25" customHeight="1" x14ac:dyDescent="0.3">
      <c r="A38" s="2" t="s">
        <v>34</v>
      </c>
      <c r="B38" s="21" t="s">
        <v>35</v>
      </c>
      <c r="C38" s="22"/>
      <c r="D38" s="30">
        <v>1.4999999999999999E-2</v>
      </c>
      <c r="E38" s="57">
        <f t="shared" si="0"/>
        <v>135.40365</v>
      </c>
      <c r="F38" s="32"/>
      <c r="H38" s="11"/>
      <c r="I38" s="11"/>
      <c r="J38" s="11"/>
      <c r="K38" s="11"/>
      <c r="L38" s="11"/>
      <c r="M38" s="11"/>
      <c r="N38" s="11"/>
      <c r="O38" s="11"/>
      <c r="P38" s="11"/>
    </row>
    <row r="39" spans="1:16" ht="14.25" customHeight="1" x14ac:dyDescent="0.3">
      <c r="A39" s="2" t="s">
        <v>36</v>
      </c>
      <c r="B39" s="21" t="s">
        <v>37</v>
      </c>
      <c r="C39" s="22"/>
      <c r="D39" s="30">
        <v>0.01</v>
      </c>
      <c r="E39" s="57">
        <f t="shared" si="0"/>
        <v>90.269099999999995</v>
      </c>
      <c r="F39" s="32"/>
      <c r="H39" s="11"/>
      <c r="I39" s="11"/>
      <c r="J39" s="11"/>
      <c r="K39" s="11"/>
      <c r="L39" s="11"/>
      <c r="M39" s="11"/>
      <c r="N39" s="11"/>
      <c r="O39" s="11"/>
      <c r="P39" s="11"/>
    </row>
    <row r="40" spans="1:16" ht="14.25" customHeight="1" x14ac:dyDescent="0.3">
      <c r="A40" s="2" t="s">
        <v>38</v>
      </c>
      <c r="B40" s="21" t="s">
        <v>39</v>
      </c>
      <c r="C40" s="22"/>
      <c r="D40" s="30">
        <v>6.0000000000000001E-3</v>
      </c>
      <c r="E40" s="57">
        <f t="shared" si="0"/>
        <v>54.161459999999998</v>
      </c>
      <c r="F40" s="32"/>
      <c r="H40" s="11"/>
      <c r="I40" s="11"/>
      <c r="J40" s="11"/>
      <c r="K40" s="11"/>
      <c r="L40" s="11"/>
      <c r="M40" s="11"/>
      <c r="N40" s="11"/>
      <c r="O40" s="11"/>
      <c r="P40" s="11"/>
    </row>
    <row r="41" spans="1:16" ht="14.25" customHeight="1" x14ac:dyDescent="0.3">
      <c r="A41" s="2" t="s">
        <v>40</v>
      </c>
      <c r="B41" s="21" t="s">
        <v>41</v>
      </c>
      <c r="C41" s="22"/>
      <c r="D41" s="36">
        <v>2E-3</v>
      </c>
      <c r="E41" s="57">
        <f t="shared" si="0"/>
        <v>18.053820000000002</v>
      </c>
      <c r="F41" s="32"/>
      <c r="H41" s="11"/>
      <c r="I41" s="11"/>
      <c r="J41" s="11"/>
      <c r="K41" s="11"/>
      <c r="L41" s="11"/>
      <c r="M41" s="11"/>
      <c r="N41" s="11"/>
      <c r="O41" s="11"/>
      <c r="P41" s="11"/>
    </row>
    <row r="42" spans="1:16" ht="14.25" customHeight="1" x14ac:dyDescent="0.3">
      <c r="A42" s="2" t="s">
        <v>42</v>
      </c>
      <c r="B42" s="21" t="s">
        <v>43</v>
      </c>
      <c r="C42" s="22"/>
      <c r="D42" s="30">
        <v>0.08</v>
      </c>
      <c r="E42" s="57">
        <f t="shared" si="0"/>
        <v>722.15279999999996</v>
      </c>
      <c r="F42" s="32"/>
      <c r="H42" s="245"/>
      <c r="I42" s="246">
        <v>22</v>
      </c>
      <c r="J42" s="11"/>
      <c r="K42" s="11"/>
      <c r="L42" s="11"/>
      <c r="M42" s="11"/>
      <c r="N42" s="11"/>
      <c r="O42" s="11"/>
      <c r="P42" s="11"/>
    </row>
    <row r="43" spans="1:16" ht="14.25" customHeight="1" thickBot="1" x14ac:dyDescent="0.35">
      <c r="B43" s="215" t="s">
        <v>44</v>
      </c>
      <c r="C43" s="216"/>
      <c r="D43" s="37">
        <f>SUM(D35:D42)</f>
        <v>0.1980024</v>
      </c>
      <c r="E43" s="33">
        <f>SUM(E35:E42)</f>
        <v>1787.3454299999999</v>
      </c>
      <c r="F43" s="29"/>
      <c r="H43" s="245"/>
      <c r="I43" s="246"/>
      <c r="J43" s="34">
        <f>E43-H43</f>
        <v>1787.3454299999999</v>
      </c>
      <c r="K43" s="11"/>
      <c r="L43" s="11"/>
      <c r="M43" s="11"/>
      <c r="N43" s="11"/>
      <c r="O43" s="11"/>
      <c r="P43" s="11"/>
    </row>
    <row r="44" spans="1:16" ht="14.25" customHeight="1" x14ac:dyDescent="0.3">
      <c r="B44" s="212" t="s">
        <v>45</v>
      </c>
      <c r="C44" s="213"/>
      <c r="D44" s="213"/>
      <c r="E44" s="214"/>
      <c r="H44" s="245"/>
      <c r="I44" s="246"/>
      <c r="J44" s="11"/>
      <c r="K44" s="11"/>
      <c r="L44" s="11"/>
      <c r="M44" s="11"/>
      <c r="N44" s="11"/>
      <c r="O44" s="11"/>
      <c r="P44" s="11"/>
    </row>
    <row r="45" spans="1:16" ht="14.25" customHeight="1" x14ac:dyDescent="0.3">
      <c r="A45" s="2" t="s">
        <v>24</v>
      </c>
      <c r="B45" s="201" t="s">
        <v>46</v>
      </c>
      <c r="C45" s="202"/>
      <c r="D45" s="203"/>
      <c r="E45" s="57">
        <v>0</v>
      </c>
      <c r="F45" s="32"/>
      <c r="H45" s="38"/>
      <c r="I45" s="39">
        <v>5.5</v>
      </c>
      <c r="J45" s="11"/>
      <c r="K45" s="11"/>
      <c r="L45" s="11"/>
      <c r="M45" s="11"/>
      <c r="N45" s="11"/>
      <c r="O45" s="11"/>
      <c r="P45" s="11"/>
    </row>
    <row r="46" spans="1:16" ht="14.25" customHeight="1" x14ac:dyDescent="0.3">
      <c r="A46" s="2" t="s">
        <v>26</v>
      </c>
      <c r="B46" s="201" t="s">
        <v>47</v>
      </c>
      <c r="C46" s="202"/>
      <c r="D46" s="203"/>
      <c r="E46" s="57">
        <v>589.77599999999995</v>
      </c>
      <c r="F46" s="32"/>
      <c r="H46" s="38"/>
      <c r="I46" s="41"/>
      <c r="J46" s="11"/>
      <c r="K46" s="11"/>
      <c r="L46" s="70"/>
      <c r="M46" s="11"/>
      <c r="N46" s="11"/>
      <c r="O46" s="11"/>
      <c r="P46" s="11"/>
    </row>
    <row r="47" spans="1:16" ht="14.25" customHeight="1" x14ac:dyDescent="0.3">
      <c r="A47" s="2" t="s">
        <v>32</v>
      </c>
      <c r="B47" s="21" t="s">
        <v>48</v>
      </c>
      <c r="C47" s="22"/>
      <c r="D47" s="40"/>
      <c r="E47" s="57">
        <v>165</v>
      </c>
      <c r="F47" s="32"/>
      <c r="H47" s="38"/>
      <c r="I47" s="41"/>
      <c r="J47" s="11"/>
      <c r="K47" s="11"/>
      <c r="L47" s="11"/>
      <c r="M47" s="11"/>
      <c r="N47" s="11"/>
      <c r="O47" s="11"/>
      <c r="P47" s="11"/>
    </row>
    <row r="48" spans="1:16" ht="14.25" customHeight="1" x14ac:dyDescent="0.3">
      <c r="A48" s="2" t="s">
        <v>34</v>
      </c>
      <c r="B48" s="201" t="s">
        <v>20</v>
      </c>
      <c r="C48" s="202"/>
      <c r="D48" s="203"/>
      <c r="E48" s="31"/>
      <c r="F48" s="32"/>
      <c r="H48" s="38"/>
      <c r="I48" s="58"/>
      <c r="J48" s="11"/>
      <c r="K48" s="11"/>
      <c r="L48" s="11"/>
      <c r="M48" s="11"/>
      <c r="N48" s="11"/>
      <c r="O48" s="11"/>
      <c r="P48" s="11"/>
    </row>
    <row r="49" spans="1:17" ht="14.25" customHeight="1" thickBot="1" x14ac:dyDescent="0.35">
      <c r="B49" s="215" t="s">
        <v>49</v>
      </c>
      <c r="C49" s="217"/>
      <c r="D49" s="216">
        <v>0</v>
      </c>
      <c r="E49" s="33">
        <f>SUM(E45:E47)</f>
        <v>754.77599999999995</v>
      </c>
      <c r="F49" s="29"/>
      <c r="H49" s="38"/>
      <c r="I49" s="41"/>
      <c r="J49" s="11"/>
      <c r="K49" s="11"/>
      <c r="L49" s="11"/>
      <c r="M49" s="11"/>
      <c r="N49" s="11"/>
      <c r="O49" s="11"/>
      <c r="P49" s="11"/>
    </row>
    <row r="50" spans="1:17" ht="14.25" customHeight="1" thickBot="1" x14ac:dyDescent="0.35">
      <c r="B50" s="191" t="s">
        <v>50</v>
      </c>
      <c r="C50" s="192"/>
      <c r="D50" s="193"/>
      <c r="E50" s="28">
        <f>E43+E33+E49</f>
        <v>4751.474716248511</v>
      </c>
      <c r="F50" s="29"/>
      <c r="H50" s="38"/>
      <c r="I50" s="41"/>
      <c r="J50" s="11"/>
      <c r="K50" s="11"/>
      <c r="L50" s="11"/>
      <c r="M50" s="11"/>
      <c r="N50" s="11"/>
      <c r="O50" s="11"/>
      <c r="P50" s="11"/>
    </row>
    <row r="51" spans="1:17" ht="14.25" customHeight="1" thickBot="1" x14ac:dyDescent="0.35">
      <c r="H51" s="38"/>
      <c r="I51" s="41"/>
      <c r="J51" s="11"/>
      <c r="K51" s="11"/>
      <c r="L51" s="11"/>
      <c r="M51" s="11"/>
      <c r="N51" s="11"/>
      <c r="O51" s="11"/>
      <c r="P51" s="11"/>
    </row>
    <row r="52" spans="1:17" ht="14.25" customHeight="1" thickBot="1" x14ac:dyDescent="0.35">
      <c r="B52" s="194" t="s">
        <v>51</v>
      </c>
      <c r="C52" s="195"/>
      <c r="D52" s="195"/>
      <c r="E52" s="196"/>
      <c r="F52" s="20"/>
      <c r="H52" s="38"/>
      <c r="I52" s="41"/>
      <c r="J52" s="11"/>
      <c r="K52" s="11"/>
      <c r="L52" s="11"/>
      <c r="M52" s="11"/>
      <c r="N52" s="11"/>
      <c r="O52" s="11"/>
      <c r="P52" s="11"/>
    </row>
    <row r="53" spans="1:17" ht="14.25" customHeight="1" x14ac:dyDescent="0.3">
      <c r="A53" s="2" t="s">
        <v>24</v>
      </c>
      <c r="B53" s="21" t="s">
        <v>52</v>
      </c>
      <c r="C53" s="21"/>
      <c r="D53" s="30">
        <v>4.2119999999999996E-3</v>
      </c>
      <c r="E53" s="57">
        <f t="shared" ref="E53:E58" si="1">D53*E$25</f>
        <v>38.021344919999997</v>
      </c>
      <c r="F53" s="32"/>
      <c r="H53" s="245" t="s">
        <v>53</v>
      </c>
      <c r="I53" s="247">
        <v>5.5500000000000001E-2</v>
      </c>
      <c r="J53" s="11"/>
      <c r="K53" s="11"/>
      <c r="L53" s="11"/>
      <c r="M53" s="11"/>
      <c r="N53" s="11"/>
      <c r="O53" s="11"/>
      <c r="P53" s="11"/>
    </row>
    <row r="54" spans="1:17" ht="14.25" customHeight="1" x14ac:dyDescent="0.3">
      <c r="A54" s="2" t="s">
        <v>26</v>
      </c>
      <c r="B54" s="21" t="s">
        <v>54</v>
      </c>
      <c r="C54" s="21"/>
      <c r="D54" s="30">
        <v>3.3695999999999997E-4</v>
      </c>
      <c r="E54" s="57">
        <f t="shared" si="1"/>
        <v>3.0417075935999995</v>
      </c>
      <c r="F54" s="32"/>
      <c r="H54" s="245"/>
      <c r="I54" s="247"/>
      <c r="J54" s="11">
        <v>8.33</v>
      </c>
      <c r="K54" s="11">
        <f>J54/12</f>
        <v>0.69416666666666671</v>
      </c>
      <c r="L54" s="11"/>
      <c r="M54" s="11"/>
      <c r="N54" s="11"/>
      <c r="O54" s="11"/>
      <c r="P54" s="11"/>
    </row>
    <row r="55" spans="1:17" ht="14.25" customHeight="1" x14ac:dyDescent="0.3">
      <c r="A55" s="2" t="s">
        <v>32</v>
      </c>
      <c r="B55" s="21" t="s">
        <v>55</v>
      </c>
      <c r="C55" s="21"/>
      <c r="D55" s="30">
        <v>0.02</v>
      </c>
      <c r="E55" s="57">
        <f t="shared" si="1"/>
        <v>180.53819999999999</v>
      </c>
      <c r="F55" s="32"/>
      <c r="H55" s="245" t="s">
        <v>56</v>
      </c>
      <c r="I55" s="246">
        <v>0.9</v>
      </c>
      <c r="J55" s="11">
        <v>2.78</v>
      </c>
      <c r="K55" s="11">
        <f>J55/12</f>
        <v>0.23166666666666666</v>
      </c>
      <c r="L55" s="11"/>
      <c r="M55" s="105"/>
      <c r="N55" s="11"/>
      <c r="O55" s="11"/>
      <c r="P55" s="11"/>
      <c r="Q55" s="104"/>
    </row>
    <row r="56" spans="1:17" ht="14.25" customHeight="1" x14ac:dyDescent="0.3">
      <c r="A56" s="2" t="s">
        <v>34</v>
      </c>
      <c r="B56" s="21" t="s">
        <v>57</v>
      </c>
      <c r="C56" s="21"/>
      <c r="D56" s="30">
        <v>1.9444444444444445E-2</v>
      </c>
      <c r="E56" s="57">
        <f t="shared" si="1"/>
        <v>175.52324999999999</v>
      </c>
      <c r="F56" s="32"/>
      <c r="H56" s="245"/>
      <c r="I56" s="246"/>
      <c r="J56" s="11"/>
      <c r="K56" s="11">
        <f>ROUND(SUM(K54:K55),2)</f>
        <v>0.93</v>
      </c>
      <c r="L56" s="11"/>
      <c r="M56" s="11"/>
      <c r="N56" s="11"/>
      <c r="O56" s="11"/>
      <c r="P56" s="11"/>
    </row>
    <row r="57" spans="1:17" ht="14.25" customHeight="1" x14ac:dyDescent="0.3">
      <c r="A57" s="2" t="s">
        <v>36</v>
      </c>
      <c r="B57" s="21" t="s">
        <v>58</v>
      </c>
      <c r="C57" s="22"/>
      <c r="D57" s="30">
        <v>2.8778244444444445E-3</v>
      </c>
      <c r="E57" s="57">
        <f t="shared" si="1"/>
        <v>25.977862255800002</v>
      </c>
      <c r="F57" s="32"/>
      <c r="H57" s="245"/>
      <c r="I57" s="246"/>
      <c r="J57" s="11"/>
      <c r="K57" s="11"/>
      <c r="L57" s="11"/>
      <c r="M57" s="11"/>
      <c r="N57" s="11"/>
      <c r="O57" s="11"/>
      <c r="P57" s="11"/>
    </row>
    <row r="58" spans="1:17" ht="14.25" customHeight="1" x14ac:dyDescent="0.3">
      <c r="A58" s="2" t="s">
        <v>38</v>
      </c>
      <c r="B58" s="21" t="s">
        <v>59</v>
      </c>
      <c r="C58" s="21"/>
      <c r="D58" s="30">
        <v>0.02</v>
      </c>
      <c r="E58" s="57">
        <f t="shared" si="1"/>
        <v>180.53819999999999</v>
      </c>
      <c r="F58" s="32"/>
      <c r="H58" s="38"/>
      <c r="I58" s="38"/>
      <c r="J58" s="11"/>
      <c r="K58" s="11"/>
      <c r="L58" s="11"/>
      <c r="M58" s="11"/>
      <c r="N58" s="11"/>
      <c r="O58" s="11"/>
      <c r="P58" s="11"/>
    </row>
    <row r="59" spans="1:17" ht="14.25" customHeight="1" thickBot="1" x14ac:dyDescent="0.35">
      <c r="B59" s="191" t="s">
        <v>60</v>
      </c>
      <c r="C59" s="192"/>
      <c r="D59" s="193"/>
      <c r="E59" s="28">
        <f>SUM(E53:E58)</f>
        <v>603.64056476939993</v>
      </c>
      <c r="F59" s="29"/>
      <c r="H59" s="38"/>
      <c r="I59" s="38"/>
      <c r="J59" s="11"/>
      <c r="K59" s="11"/>
      <c r="L59" s="11"/>
      <c r="M59" s="11"/>
      <c r="N59" s="11"/>
      <c r="O59" s="11"/>
      <c r="P59" s="11"/>
    </row>
    <row r="60" spans="1:17" ht="14.25" customHeight="1" thickBot="1" x14ac:dyDescent="0.35">
      <c r="H60" s="38"/>
      <c r="I60" s="38"/>
      <c r="J60" s="11"/>
      <c r="K60" s="11"/>
      <c r="L60" s="11"/>
      <c r="M60" s="11"/>
      <c r="N60" s="11"/>
      <c r="O60" s="11"/>
      <c r="P60" s="11"/>
    </row>
    <row r="61" spans="1:17" ht="14.25" customHeight="1" x14ac:dyDescent="0.3">
      <c r="B61" s="204" t="s">
        <v>75</v>
      </c>
      <c r="C61" s="205"/>
      <c r="D61" s="205"/>
      <c r="E61" s="206"/>
      <c r="F61" s="20"/>
      <c r="H61" s="38"/>
      <c r="I61" s="38"/>
      <c r="J61" s="11"/>
      <c r="K61" s="11"/>
      <c r="L61" s="11"/>
      <c r="M61" s="11"/>
      <c r="N61" s="11"/>
      <c r="O61" s="11"/>
      <c r="P61" s="11"/>
    </row>
    <row r="62" spans="1:17" ht="14.25" customHeight="1" x14ac:dyDescent="0.3">
      <c r="B62" s="207"/>
      <c r="C62" s="208"/>
      <c r="D62" s="208"/>
      <c r="E62" s="209"/>
      <c r="H62" s="11"/>
      <c r="I62" s="11"/>
      <c r="J62" s="11"/>
      <c r="K62" s="11"/>
      <c r="L62" s="11"/>
      <c r="M62" s="11"/>
      <c r="N62" s="11"/>
      <c r="O62" s="11"/>
      <c r="P62" s="11"/>
    </row>
    <row r="63" spans="1:17" ht="14.25" customHeight="1" x14ac:dyDescent="0.3">
      <c r="A63" s="2" t="s">
        <v>24</v>
      </c>
      <c r="B63" s="201" t="s">
        <v>76</v>
      </c>
      <c r="C63" s="203"/>
      <c r="D63" s="30">
        <v>9.2999999999999992E-3</v>
      </c>
      <c r="E63" s="57">
        <f t="shared" ref="E63:E68" si="2">D63*E$25</f>
        <v>83.950262999999993</v>
      </c>
      <c r="F63" s="32"/>
      <c r="H63" s="38"/>
      <c r="I63" s="38"/>
      <c r="J63" s="11"/>
      <c r="K63" s="11"/>
      <c r="L63" s="11"/>
      <c r="M63" s="11"/>
      <c r="N63" s="11"/>
      <c r="O63" s="11"/>
      <c r="P63" s="11"/>
    </row>
    <row r="64" spans="1:17" ht="14.25" customHeight="1" x14ac:dyDescent="0.3">
      <c r="A64" s="2" t="s">
        <v>26</v>
      </c>
      <c r="B64" s="101" t="s">
        <v>77</v>
      </c>
      <c r="C64" s="98"/>
      <c r="D64" s="30">
        <v>1.66E-2</v>
      </c>
      <c r="E64" s="57">
        <f t="shared" si="2"/>
        <v>149.84670600000001</v>
      </c>
      <c r="F64" s="32"/>
      <c r="H64" s="38" t="s">
        <v>78</v>
      </c>
      <c r="I64" s="39">
        <v>5.96</v>
      </c>
      <c r="J64" s="11"/>
      <c r="K64" s="11"/>
      <c r="L64" s="11"/>
      <c r="M64" s="78"/>
      <c r="N64" s="11"/>
      <c r="O64" s="11"/>
      <c r="P64" s="11"/>
    </row>
    <row r="65" spans="1:16" ht="14.25" customHeight="1" x14ac:dyDescent="0.3">
      <c r="A65" s="2" t="s">
        <v>32</v>
      </c>
      <c r="B65" s="101" t="s">
        <v>79</v>
      </c>
      <c r="C65" s="98"/>
      <c r="D65" s="30">
        <v>2.0000000000000001E-4</v>
      </c>
      <c r="E65" s="57">
        <f t="shared" si="2"/>
        <v>1.805382</v>
      </c>
      <c r="F65" s="32"/>
      <c r="H65" s="38" t="s">
        <v>80</v>
      </c>
      <c r="I65" s="42">
        <v>1.4999999999999999E-2</v>
      </c>
      <c r="J65" s="11"/>
      <c r="K65" s="11"/>
      <c r="L65" s="11"/>
      <c r="M65" s="11"/>
      <c r="N65" s="11"/>
      <c r="O65" s="11"/>
      <c r="P65" s="11"/>
    </row>
    <row r="66" spans="1:16" ht="14.25" customHeight="1" x14ac:dyDescent="0.3">
      <c r="A66" s="2" t="s">
        <v>34</v>
      </c>
      <c r="B66" s="101" t="s">
        <v>81</v>
      </c>
      <c r="C66" s="98"/>
      <c r="D66" s="30">
        <v>2.7000000000000001E-3</v>
      </c>
      <c r="E66" s="57">
        <f t="shared" si="2"/>
        <v>24.372657</v>
      </c>
      <c r="F66" s="32"/>
      <c r="H66" s="38" t="s">
        <v>82</v>
      </c>
      <c r="I66" s="42">
        <v>1.8599999999999998E-2</v>
      </c>
      <c r="J66" s="11"/>
      <c r="K66" s="11"/>
      <c r="L66" s="11"/>
      <c r="M66" s="11"/>
      <c r="N66" s="78"/>
      <c r="O66" s="11"/>
      <c r="P66" s="11"/>
    </row>
    <row r="67" spans="1:16" ht="14.25" customHeight="1" x14ac:dyDescent="0.3">
      <c r="A67" s="2" t="s">
        <v>36</v>
      </c>
      <c r="B67" s="101" t="s">
        <v>83</v>
      </c>
      <c r="C67" s="98"/>
      <c r="D67" s="30">
        <v>2.8E-3</v>
      </c>
      <c r="E67" s="57">
        <f t="shared" si="2"/>
        <v>25.275348000000001</v>
      </c>
      <c r="F67" s="32"/>
      <c r="H67" s="245" t="s">
        <v>84</v>
      </c>
      <c r="I67" s="247">
        <v>0.02</v>
      </c>
      <c r="J67" s="11"/>
      <c r="K67" s="105"/>
      <c r="L67" s="11"/>
      <c r="M67" s="11"/>
      <c r="N67" s="11"/>
      <c r="O67" s="11"/>
      <c r="P67" s="11"/>
    </row>
    <row r="68" spans="1:16" ht="14.25" customHeight="1" x14ac:dyDescent="0.3">
      <c r="A68" s="2" t="s">
        <v>38</v>
      </c>
      <c r="B68" s="101" t="s">
        <v>20</v>
      </c>
      <c r="C68" s="98"/>
      <c r="D68" s="30">
        <v>0</v>
      </c>
      <c r="E68" s="57">
        <f t="shared" si="2"/>
        <v>0</v>
      </c>
      <c r="F68" s="32"/>
      <c r="H68" s="245"/>
      <c r="I68" s="247"/>
      <c r="J68" s="11"/>
      <c r="K68" s="11"/>
      <c r="L68" s="11"/>
      <c r="M68" s="11"/>
      <c r="N68" s="11"/>
      <c r="O68" s="11"/>
      <c r="P68" s="11"/>
    </row>
    <row r="69" spans="1:16" ht="14.25" customHeight="1" x14ac:dyDescent="0.3">
      <c r="B69" s="102" t="s">
        <v>164</v>
      </c>
      <c r="C69" s="96"/>
      <c r="D69" s="100">
        <v>0.1056</v>
      </c>
      <c r="E69" s="99">
        <f>SUM(E63:E68)</f>
        <v>285.25035600000001</v>
      </c>
      <c r="F69" s="32"/>
      <c r="H69" s="92"/>
      <c r="I69" s="42"/>
      <c r="J69" s="11"/>
      <c r="K69" s="11"/>
      <c r="L69" s="11"/>
      <c r="M69" s="11"/>
      <c r="N69" s="11"/>
      <c r="O69" s="11"/>
      <c r="P69" s="11"/>
    </row>
    <row r="70" spans="1:16" ht="14.25" customHeight="1" x14ac:dyDescent="0.3">
      <c r="B70" s="201" t="s">
        <v>165</v>
      </c>
      <c r="C70" s="202"/>
      <c r="D70" s="203"/>
      <c r="E70" s="57">
        <f>D43*E69</f>
        <v>56.480255088854399</v>
      </c>
      <c r="F70" s="32"/>
      <c r="H70" s="92"/>
      <c r="I70" s="42"/>
      <c r="J70" s="11"/>
      <c r="K70" s="11"/>
      <c r="L70" s="11"/>
      <c r="M70" s="11"/>
      <c r="N70" s="11"/>
      <c r="O70" s="11"/>
      <c r="P70" s="11"/>
    </row>
    <row r="71" spans="1:16" ht="14.25" customHeight="1" thickBot="1" x14ac:dyDescent="0.35">
      <c r="B71" s="210" t="s">
        <v>86</v>
      </c>
      <c r="C71" s="211"/>
      <c r="D71" s="211"/>
      <c r="E71" s="103">
        <f>SUM(E69:E70)</f>
        <v>341.7306110888544</v>
      </c>
      <c r="F71" s="29"/>
      <c r="H71" s="43"/>
      <c r="I71" s="11"/>
      <c r="J71" s="11"/>
      <c r="K71" s="11"/>
      <c r="L71" s="11"/>
      <c r="M71" s="11"/>
      <c r="N71" s="11"/>
      <c r="O71" s="11"/>
      <c r="P71" s="11"/>
    </row>
    <row r="72" spans="1:16" ht="12.75" customHeight="1" thickBot="1" x14ac:dyDescent="0.35">
      <c r="H72" s="43"/>
      <c r="I72" s="11"/>
      <c r="J72" s="11"/>
      <c r="K72" s="11"/>
      <c r="L72" s="11"/>
      <c r="M72" s="11"/>
      <c r="N72" s="11"/>
      <c r="O72" s="11"/>
      <c r="P72" s="11"/>
    </row>
    <row r="73" spans="1:16" ht="14.25" customHeight="1" thickBot="1" x14ac:dyDescent="0.35">
      <c r="B73" s="194" t="s">
        <v>61</v>
      </c>
      <c r="C73" s="195"/>
      <c r="D73" s="195"/>
      <c r="E73" s="196"/>
      <c r="F73" s="20"/>
      <c r="H73" s="34"/>
      <c r="I73" s="11"/>
      <c r="J73" s="11"/>
      <c r="K73" s="11"/>
      <c r="L73" s="11"/>
      <c r="M73" s="11"/>
      <c r="N73" s="11"/>
      <c r="O73" s="11"/>
      <c r="P73" s="11"/>
    </row>
    <row r="74" spans="1:16" ht="14.25" customHeight="1" x14ac:dyDescent="0.3">
      <c r="A74" s="2" t="s">
        <v>24</v>
      </c>
      <c r="B74" s="201" t="s">
        <v>104</v>
      </c>
      <c r="C74" s="202"/>
      <c r="D74" s="203"/>
      <c r="E74" s="57">
        <v>50</v>
      </c>
      <c r="F74" s="24"/>
      <c r="H74" s="11"/>
      <c r="I74" s="11"/>
      <c r="J74" s="11"/>
      <c r="K74" s="11"/>
      <c r="L74" s="11"/>
      <c r="M74" s="11"/>
      <c r="N74" s="11"/>
      <c r="O74" s="11"/>
      <c r="P74" s="11"/>
    </row>
    <row r="75" spans="1:16" ht="14.25" customHeight="1" x14ac:dyDescent="0.3">
      <c r="A75" s="2" t="s">
        <v>26</v>
      </c>
      <c r="B75" s="25" t="s">
        <v>96</v>
      </c>
      <c r="C75" s="26"/>
      <c r="D75" s="44"/>
      <c r="E75" s="57">
        <v>0</v>
      </c>
      <c r="F75" s="24"/>
      <c r="H75" s="11"/>
      <c r="I75" s="11"/>
      <c r="J75" s="11"/>
      <c r="K75" s="11"/>
      <c r="L75" s="11"/>
      <c r="M75" s="11"/>
      <c r="N75" s="11"/>
      <c r="O75" s="11"/>
      <c r="P75" s="11"/>
    </row>
    <row r="76" spans="1:16" ht="14.25" customHeight="1" x14ac:dyDescent="0.3">
      <c r="A76" s="2" t="s">
        <v>32</v>
      </c>
      <c r="B76" s="25" t="s">
        <v>62</v>
      </c>
      <c r="C76" s="26"/>
      <c r="D76" s="44"/>
      <c r="E76" s="57">
        <v>90</v>
      </c>
      <c r="F76" s="24"/>
      <c r="H76" s="11"/>
      <c r="I76" s="11"/>
      <c r="J76" s="11"/>
      <c r="K76" s="11"/>
      <c r="L76" s="11"/>
      <c r="M76" s="11"/>
      <c r="N76" s="11"/>
      <c r="O76" s="11"/>
      <c r="P76" s="11"/>
    </row>
    <row r="77" spans="1:16" ht="14.25" customHeight="1" x14ac:dyDescent="0.3">
      <c r="B77" s="25" t="s">
        <v>101</v>
      </c>
      <c r="C77" s="26"/>
      <c r="D77" s="44"/>
      <c r="E77" s="57">
        <v>0</v>
      </c>
      <c r="F77" s="24"/>
      <c r="H77" s="11"/>
      <c r="I77" s="11"/>
      <c r="J77" s="11"/>
      <c r="K77" s="11"/>
      <c r="L77" s="11"/>
      <c r="M77" s="11"/>
      <c r="N77" s="11"/>
      <c r="O77" s="11"/>
      <c r="P77" s="11"/>
    </row>
    <row r="78" spans="1:16" ht="14.25" customHeight="1" x14ac:dyDescent="0.3">
      <c r="B78" s="25" t="s">
        <v>97</v>
      </c>
      <c r="C78" s="26"/>
      <c r="D78" s="44"/>
      <c r="E78" s="57">
        <v>0</v>
      </c>
      <c r="F78" s="24"/>
      <c r="H78" s="11"/>
      <c r="I78" s="11"/>
      <c r="J78" s="11"/>
      <c r="K78" s="11"/>
      <c r="L78" s="11"/>
      <c r="M78" s="11"/>
      <c r="N78" s="11"/>
      <c r="O78" s="11"/>
      <c r="P78" s="11"/>
    </row>
    <row r="79" spans="1:16" ht="14.25" customHeight="1" x14ac:dyDescent="0.3">
      <c r="A79" s="2" t="s">
        <v>34</v>
      </c>
      <c r="B79" s="25" t="s">
        <v>166</v>
      </c>
      <c r="C79" s="26"/>
      <c r="D79" s="44"/>
      <c r="E79" s="57">
        <v>0</v>
      </c>
      <c r="F79" s="24"/>
      <c r="H79" s="11"/>
      <c r="I79" s="11"/>
      <c r="J79" s="11"/>
      <c r="L79" s="11"/>
      <c r="M79" s="11"/>
      <c r="N79" s="11"/>
      <c r="O79" s="11"/>
      <c r="P79" s="11"/>
    </row>
    <row r="80" spans="1:16" ht="14.25" customHeight="1" thickBot="1" x14ac:dyDescent="0.35">
      <c r="B80" s="191" t="s">
        <v>63</v>
      </c>
      <c r="C80" s="192"/>
      <c r="D80" s="193"/>
      <c r="E80" s="28">
        <f>SUM(E74:E79)</f>
        <v>140</v>
      </c>
      <c r="F80" s="29"/>
      <c r="H80" s="11"/>
      <c r="I80" s="11"/>
      <c r="J80" s="11"/>
      <c r="L80" s="11"/>
      <c r="M80" s="11"/>
      <c r="N80" s="11"/>
      <c r="O80" s="11"/>
      <c r="P80" s="11"/>
    </row>
    <row r="81" spans="1:16" ht="14.25" customHeight="1" thickBot="1" x14ac:dyDescent="0.35">
      <c r="H81" s="11"/>
      <c r="I81" s="11"/>
      <c r="J81" s="11"/>
      <c r="L81" s="11"/>
      <c r="M81" s="11"/>
      <c r="N81" s="11"/>
      <c r="O81" s="11"/>
      <c r="P81" s="11"/>
    </row>
    <row r="82" spans="1:16" ht="14.25" customHeight="1" thickBot="1" x14ac:dyDescent="0.35">
      <c r="B82" s="194" t="s">
        <v>64</v>
      </c>
      <c r="C82" s="195"/>
      <c r="D82" s="195"/>
      <c r="E82" s="196"/>
      <c r="F82" s="20"/>
      <c r="H82" s="11"/>
      <c r="I82" s="11"/>
      <c r="J82" s="11"/>
      <c r="L82" s="11"/>
      <c r="M82" s="11"/>
      <c r="N82" s="11"/>
      <c r="O82" s="11"/>
      <c r="P82" s="11"/>
    </row>
    <row r="83" spans="1:16" ht="14.25" customHeight="1" x14ac:dyDescent="0.3">
      <c r="A83" s="2" t="s">
        <v>24</v>
      </c>
      <c r="B83" s="45" t="s">
        <v>65</v>
      </c>
      <c r="C83" s="46"/>
      <c r="D83" s="35">
        <f>'1'!D83</f>
        <v>0</v>
      </c>
      <c r="E83" s="57">
        <f>D83*(E80+E71+E59+E50+E25)</f>
        <v>0</v>
      </c>
      <c r="F83" s="32"/>
      <c r="H83" s="11"/>
      <c r="I83" s="161"/>
      <c r="J83" s="11"/>
      <c r="K83" s="54"/>
      <c r="L83" s="11"/>
      <c r="M83" s="11"/>
      <c r="N83" s="11"/>
      <c r="O83" s="34"/>
      <c r="P83" s="11"/>
    </row>
    <row r="84" spans="1:16" ht="14.25" customHeight="1" x14ac:dyDescent="0.3">
      <c r="A84" s="2" t="s">
        <v>26</v>
      </c>
      <c r="B84" s="21" t="s">
        <v>66</v>
      </c>
      <c r="C84" s="22"/>
      <c r="D84" s="35">
        <f>'1'!D84</f>
        <v>-1.3677647119945452E-2</v>
      </c>
      <c r="E84" s="57">
        <f>D84*(E83+E80+E71+E59+E50+E25)</f>
        <v>-203.30120796924635</v>
      </c>
      <c r="F84" s="32"/>
      <c r="H84" s="34"/>
      <c r="I84" s="34"/>
      <c r="J84" s="11"/>
      <c r="K84" s="162"/>
      <c r="L84" s="11"/>
      <c r="M84" s="11"/>
      <c r="N84" s="11"/>
      <c r="O84" s="11"/>
      <c r="P84" s="11"/>
    </row>
    <row r="85" spans="1:16" ht="14.25" customHeight="1" x14ac:dyDescent="0.3">
      <c r="B85" s="21" t="s">
        <v>67</v>
      </c>
      <c r="C85" s="22"/>
      <c r="D85" s="30">
        <v>6.5000000000000006E-3</v>
      </c>
      <c r="E85" s="57">
        <f>D85*(E84+E83+E80+E71+E59+E50+E25)</f>
        <v>95.292955446893885</v>
      </c>
      <c r="F85" s="32"/>
      <c r="H85" s="34"/>
      <c r="I85" s="34"/>
      <c r="J85" s="11"/>
      <c r="L85" s="11"/>
      <c r="M85" s="11"/>
      <c r="N85" s="11"/>
      <c r="O85" s="34"/>
      <c r="P85" s="11"/>
    </row>
    <row r="86" spans="1:16" ht="14.25" customHeight="1" x14ac:dyDescent="0.3">
      <c r="B86" s="47" t="s">
        <v>68</v>
      </c>
      <c r="C86" s="48"/>
      <c r="D86" s="30">
        <v>0.03</v>
      </c>
      <c r="E86" s="57">
        <f>D86*(E83+E85+E84+E80+E71+E59+E50+E25)</f>
        <v>442.67242918753237</v>
      </c>
      <c r="F86" s="32"/>
      <c r="H86" s="11"/>
      <c r="I86" s="11"/>
      <c r="J86" s="11"/>
      <c r="L86" s="11"/>
      <c r="M86" s="11"/>
      <c r="N86" s="11"/>
      <c r="O86" s="34"/>
      <c r="P86" s="11"/>
    </row>
    <row r="87" spans="1:16" ht="14.25" customHeight="1" x14ac:dyDescent="0.3">
      <c r="B87" s="21" t="s">
        <v>69</v>
      </c>
      <c r="C87" s="22"/>
      <c r="D87" s="35">
        <v>0.05</v>
      </c>
      <c r="E87" s="57">
        <f>D87*(E84+E83+E86+E85+E80+E71+E59+E50+E25)</f>
        <v>759.92100343859738</v>
      </c>
      <c r="F87" s="32"/>
      <c r="H87" s="11"/>
      <c r="I87" s="11"/>
      <c r="J87" s="11"/>
      <c r="L87" s="11"/>
      <c r="M87" s="11"/>
      <c r="N87" s="11"/>
      <c r="O87" s="34"/>
      <c r="P87" s="11"/>
    </row>
    <row r="88" spans="1:16" ht="14.25" customHeight="1" x14ac:dyDescent="0.3">
      <c r="B88" s="25" t="s">
        <v>87</v>
      </c>
      <c r="C88" s="26"/>
      <c r="D88" s="35">
        <v>3.5999999999999997E-2</v>
      </c>
      <c r="E88" s="57">
        <f>D88*(E84+E85+E87+E86+E83+E71+E59+E50+E25)</f>
        <v>569.46027859957951</v>
      </c>
      <c r="F88" s="32"/>
      <c r="H88" s="11"/>
      <c r="I88" s="11"/>
      <c r="J88" s="11"/>
      <c r="L88" s="11"/>
      <c r="M88" s="11"/>
      <c r="N88" s="11"/>
      <c r="O88" s="34"/>
      <c r="P88" s="11"/>
    </row>
    <row r="89" spans="1:16" ht="14.25" customHeight="1" thickBot="1" x14ac:dyDescent="0.35">
      <c r="B89" s="191" t="s">
        <v>70</v>
      </c>
      <c r="C89" s="192"/>
      <c r="D89" s="193"/>
      <c r="E89" s="49">
        <f>SUM(E83:E88)</f>
        <v>1664.0454587033569</v>
      </c>
      <c r="F89" s="29"/>
      <c r="H89" s="11"/>
      <c r="I89" s="11"/>
      <c r="J89" s="11"/>
      <c r="L89" s="11"/>
      <c r="M89" s="11"/>
      <c r="N89" s="11"/>
      <c r="O89" s="34"/>
      <c r="P89" s="11"/>
    </row>
    <row r="90" spans="1:16" ht="14.25" customHeight="1" thickBot="1" x14ac:dyDescent="0.35">
      <c r="H90" s="11"/>
      <c r="I90" s="11"/>
      <c r="L90" s="11"/>
      <c r="M90" s="11"/>
      <c r="N90" s="11"/>
      <c r="O90" s="11"/>
      <c r="P90" s="11"/>
    </row>
    <row r="91" spans="1:16" ht="14.25" customHeight="1" thickBot="1" x14ac:dyDescent="0.35">
      <c r="B91" s="197" t="s">
        <v>71</v>
      </c>
      <c r="C91" s="198"/>
      <c r="D91" s="198"/>
      <c r="E91" s="50">
        <f>SUM(E89+E80+E71+E59+E50+E25)</f>
        <v>16527.801350810121</v>
      </c>
      <c r="F91" s="29"/>
      <c r="H91" s="54"/>
      <c r="J91" s="11"/>
      <c r="L91" s="11"/>
      <c r="M91" s="11"/>
      <c r="N91" s="11"/>
      <c r="O91" s="11"/>
      <c r="P91" s="11"/>
    </row>
    <row r="92" spans="1:16" ht="14.25" customHeight="1" thickBot="1" x14ac:dyDescent="0.35">
      <c r="H92" s="11"/>
      <c r="I92" s="11"/>
    </row>
    <row r="93" spans="1:16" ht="14.25" customHeight="1" thickBot="1" x14ac:dyDescent="0.35">
      <c r="B93" s="199" t="s">
        <v>72</v>
      </c>
      <c r="C93" s="200"/>
      <c r="D93" s="200"/>
      <c r="E93" s="51">
        <f>E91*E13</f>
        <v>82639.006754050613</v>
      </c>
      <c r="F93" s="29"/>
      <c r="H93" s="54"/>
    </row>
    <row r="94" spans="1:16" ht="14.25" customHeight="1" x14ac:dyDescent="0.3">
      <c r="B94" s="10"/>
      <c r="C94" s="10"/>
      <c r="D94" s="52"/>
      <c r="E94" s="9"/>
      <c r="F94" s="53"/>
      <c r="G94" s="53"/>
      <c r="H94" s="53"/>
    </row>
    <row r="95" spans="1:16" ht="14.25" customHeight="1" x14ac:dyDescent="0.3">
      <c r="M95" s="54"/>
    </row>
  </sheetData>
  <mergeCells count="49">
    <mergeCell ref="B93:D93"/>
    <mergeCell ref="B73:E73"/>
    <mergeCell ref="B74:D74"/>
    <mergeCell ref="B80:D80"/>
    <mergeCell ref="B82:E82"/>
    <mergeCell ref="B89:D89"/>
    <mergeCell ref="B91:D91"/>
    <mergeCell ref="B71:D71"/>
    <mergeCell ref="H53:H54"/>
    <mergeCell ref="I53:I54"/>
    <mergeCell ref="H55:H57"/>
    <mergeCell ref="I55:I57"/>
    <mergeCell ref="B59:D59"/>
    <mergeCell ref="B61:E61"/>
    <mergeCell ref="B62:E62"/>
    <mergeCell ref="B63:C63"/>
    <mergeCell ref="H67:H68"/>
    <mergeCell ref="I67:I68"/>
    <mergeCell ref="B70:D70"/>
    <mergeCell ref="B52:E52"/>
    <mergeCell ref="B28:E28"/>
    <mergeCell ref="B34:E34"/>
    <mergeCell ref="H42:H44"/>
    <mergeCell ref="I42:I44"/>
    <mergeCell ref="B43:C43"/>
    <mergeCell ref="B44:E44"/>
    <mergeCell ref="B45:D45"/>
    <mergeCell ref="B46:D46"/>
    <mergeCell ref="B48:D48"/>
    <mergeCell ref="B49:D49"/>
    <mergeCell ref="B50:D50"/>
    <mergeCell ref="B27:E27"/>
    <mergeCell ref="B10:E10"/>
    <mergeCell ref="B11:C11"/>
    <mergeCell ref="B12:D12"/>
    <mergeCell ref="B13:C13"/>
    <mergeCell ref="B15:E15"/>
    <mergeCell ref="C16:D16"/>
    <mergeCell ref="C17:D17"/>
    <mergeCell ref="C18:D18"/>
    <mergeCell ref="C19:D19"/>
    <mergeCell ref="B21:E21"/>
    <mergeCell ref="B25:D25"/>
    <mergeCell ref="B8:D8"/>
    <mergeCell ref="B2:E2"/>
    <mergeCell ref="B4:E4"/>
    <mergeCell ref="B5:D5"/>
    <mergeCell ref="B6:D6"/>
    <mergeCell ref="B7:D7"/>
  </mergeCells>
  <dataValidations count="10">
    <dataValidation allowBlank="1" showInputMessage="1" showErrorMessage="1" errorTitle="Valor inválido" error="Mínimo aceito = 2%_x000a_Máximo aceito = 5%" sqref="D88" xr:uid="{E3816A9F-F73E-4420-932D-335661EDA17B}"/>
    <dataValidation operator="lessThanOrEqual" showInputMessage="1" errorTitle="Valor inválido" error="Máximo aceito = 5%" sqref="D83" xr:uid="{84FD26E8-FC22-438B-9AC5-E26B3F1A00E6}"/>
    <dataValidation type="decimal" allowBlank="1" showInputMessage="1" showErrorMessage="1" errorTitle="Valor inválido" error="Mínimo aceito = 2%_x000a_Máximo aceito = 5%" sqref="D87" xr:uid="{720B35A1-192D-490D-AFF9-29323E6A2870}">
      <formula1>0.02</formula1>
      <formula2>0.05</formula2>
    </dataValidation>
    <dataValidation type="decimal" operator="lessThanOrEqual" allowBlank="1" showInputMessage="1" showErrorMessage="1" errorTitle="Valor inválido" error="Máximo aceito = 6%" sqref="D41 D37" xr:uid="{A687C2A2-E53E-4BBF-B989-677938B69B17}">
      <formula1>0.06</formula1>
    </dataValidation>
    <dataValidation type="decimal" operator="lessThanOrEqual" allowBlank="1" showInputMessage="1" showErrorMessage="1" errorTitle="Valor inválido" error="Deve ser igual ou inferior a 2,00% (Ref.: IBGE)" sqref="I67" xr:uid="{CF0CFF4E-8D91-43D3-A1CF-728FC199BD3B}">
      <formula1>0.02</formula1>
    </dataValidation>
    <dataValidation type="decimal" operator="lessThanOrEqual" allowBlank="1" showInputMessage="1" showErrorMessage="1" errorTitle="Valor inválido" error="Deve ser igual ou inferior a 8,00% (Ref.: IBGE)" sqref="I66" xr:uid="{774F03BD-EB7D-483B-9A0B-C4EE384ED0C3}">
      <formula1>0.08</formula1>
    </dataValidation>
    <dataValidation type="decimal" operator="lessThanOrEqual" allowBlank="1" showInputMessage="1" showErrorMessage="1" errorTitle="Valor inválido" error="Deve ser igual ou inferior a 1,50% (Ref.: IBGE)" sqref="I65" xr:uid="{999A14B9-9591-4F17-B76B-9B497D0BB2FB}">
      <formula1>0.015</formula1>
    </dataValidation>
    <dataValidation type="decimal" operator="lessThanOrEqual" allowBlank="1" showInputMessage="1" showErrorMessage="1" errorTitle="Valor inválido" error="Deve ser igual ou inferior a 5,55 (Ref.: TCU)" sqref="I53" xr:uid="{3C0AA105-281C-446F-84F5-C49672FB86A3}">
      <formula1>0.0555</formula1>
    </dataValidation>
    <dataValidation type="decimal" operator="lessThanOrEqual" allowBlank="1" showInputMessage="1" showErrorMessage="1" errorTitle="Valor inválido" error="Deve ser igual ou inferior a 5,96 (Ref.: IBGE)" sqref="I64" xr:uid="{13654502-FE10-4B57-852F-9B8AF09F6242}">
      <formula1>5.96</formula1>
    </dataValidation>
    <dataValidation type="list" allowBlank="1" showInputMessage="1" showErrorMessage="1" sqref="H13" xr:uid="{47089341-973B-42A7-8BBA-E3E9E78393D7}">
      <formula1>$J$2:$J$3</formula1>
    </dataValidation>
  </dataValidations>
  <pageMargins left="0.511811024" right="0.511811024" top="0.78740157499999996" bottom="0.78740157499999996" header="0.31496062000000002" footer="0.31496062000000002"/>
  <pageSetup paperSize="9" scale="56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7BC6E-523A-42FF-BB1C-6E2FE6EFE90C}">
  <sheetPr codeName="Planilha10">
    <pageSetUpPr fitToPage="1"/>
  </sheetPr>
  <dimension ref="A1:Q95"/>
  <sheetViews>
    <sheetView topLeftCell="A57" zoomScaleNormal="100" workbookViewId="0">
      <selection activeCell="D64" sqref="D64"/>
    </sheetView>
  </sheetViews>
  <sheetFormatPr defaultColWidth="9.109375" defaultRowHeight="11.4" x14ac:dyDescent="0.3"/>
  <cols>
    <col min="1" max="1" width="1.6640625" style="2" customWidth="1"/>
    <col min="2" max="2" width="13.6640625" style="1" customWidth="1"/>
    <col min="3" max="3" width="59.44140625" style="1" customWidth="1"/>
    <col min="4" max="4" width="12.109375" style="1" customWidth="1"/>
    <col min="5" max="5" width="15.44140625" style="1" bestFit="1" customWidth="1"/>
    <col min="6" max="6" width="1.6640625" style="1" customWidth="1"/>
    <col min="7" max="7" width="1.6640625" style="2" customWidth="1"/>
    <col min="8" max="8" width="18.33203125" style="2" customWidth="1"/>
    <col min="9" max="9" width="11.6640625" style="2" bestFit="1" customWidth="1"/>
    <col min="10" max="10" width="9.109375" style="2" customWidth="1"/>
    <col min="11" max="11" width="27.109375" style="2" customWidth="1"/>
    <col min="12" max="12" width="9.109375" style="2" customWidth="1"/>
    <col min="13" max="13" width="18.5546875" style="2" customWidth="1"/>
    <col min="14" max="14" width="13.109375" style="2" customWidth="1"/>
    <col min="15" max="19" width="9.109375" style="2" customWidth="1"/>
    <col min="20" max="16384" width="9.109375" style="2"/>
  </cols>
  <sheetData>
    <row r="1" spans="2:16" ht="14.25" customHeight="1" thickBot="1" x14ac:dyDescent="0.35"/>
    <row r="2" spans="2:16" s="1" customFormat="1" ht="22.5" customHeight="1" thickBot="1" x14ac:dyDescent="0.35">
      <c r="B2" s="239" t="s">
        <v>73</v>
      </c>
      <c r="C2" s="240"/>
      <c r="D2" s="240"/>
      <c r="E2" s="241"/>
      <c r="G2" s="3"/>
      <c r="J2" s="3"/>
    </row>
    <row r="3" spans="2:16" ht="14.25" customHeight="1" thickBot="1" x14ac:dyDescent="0.35">
      <c r="J3" s="3"/>
    </row>
    <row r="4" spans="2:16" ht="14.25" customHeight="1" x14ac:dyDescent="0.3">
      <c r="B4" s="218" t="s">
        <v>2</v>
      </c>
      <c r="C4" s="219"/>
      <c r="D4" s="219"/>
      <c r="E4" s="220"/>
      <c r="J4" s="3"/>
    </row>
    <row r="5" spans="2:16" ht="14.25" customHeight="1" x14ac:dyDescent="0.3">
      <c r="B5" s="242" t="s">
        <v>3</v>
      </c>
      <c r="C5" s="243"/>
      <c r="D5" s="244"/>
      <c r="E5" s="4"/>
      <c r="J5" s="3"/>
    </row>
    <row r="6" spans="2:16" ht="14.25" customHeight="1" x14ac:dyDescent="0.3">
      <c r="B6" s="201" t="s">
        <v>4</v>
      </c>
      <c r="C6" s="202"/>
      <c r="D6" s="203"/>
      <c r="E6" s="5" t="s">
        <v>5</v>
      </c>
      <c r="J6" s="3"/>
    </row>
    <row r="7" spans="2:16" ht="14.25" customHeight="1" x14ac:dyDescent="0.3">
      <c r="B7" s="201" t="s">
        <v>6</v>
      </c>
      <c r="C7" s="202"/>
      <c r="D7" s="203"/>
      <c r="E7" s="5" t="s">
        <v>148</v>
      </c>
      <c r="J7" s="3"/>
    </row>
    <row r="8" spans="2:16" ht="14.25" customHeight="1" thickBot="1" x14ac:dyDescent="0.35">
      <c r="B8" s="236" t="s">
        <v>7</v>
      </c>
      <c r="C8" s="237"/>
      <c r="D8" s="238"/>
      <c r="E8" s="6">
        <v>12</v>
      </c>
      <c r="J8" s="3"/>
    </row>
    <row r="9" spans="2:16" ht="14.25" customHeight="1" thickBot="1" x14ac:dyDescent="0.35">
      <c r="J9" s="3"/>
    </row>
    <row r="10" spans="2:16" ht="14.25" customHeight="1" thickBot="1" x14ac:dyDescent="0.35">
      <c r="B10" s="218" t="s">
        <v>8</v>
      </c>
      <c r="C10" s="219"/>
      <c r="D10" s="219"/>
      <c r="E10" s="220"/>
      <c r="J10" s="3"/>
    </row>
    <row r="11" spans="2:16" s="10" customFormat="1" ht="33" customHeight="1" x14ac:dyDescent="0.3">
      <c r="B11" s="221" t="s">
        <v>9</v>
      </c>
      <c r="C11" s="222"/>
      <c r="D11" s="7" t="s">
        <v>10</v>
      </c>
      <c r="E11" s="8" t="s">
        <v>11</v>
      </c>
      <c r="F11" s="9"/>
      <c r="I11" s="11"/>
      <c r="J11" s="11"/>
      <c r="K11" s="11"/>
      <c r="L11" s="11"/>
      <c r="M11" s="11">
        <f>'1'!E91</f>
        <v>23924.14823739705</v>
      </c>
      <c r="N11" s="11"/>
      <c r="O11" s="11"/>
      <c r="P11" s="11"/>
    </row>
    <row r="12" spans="2:16" s="10" customFormat="1" ht="12" x14ac:dyDescent="0.3">
      <c r="B12" s="234" t="s">
        <v>91</v>
      </c>
      <c r="C12" s="235"/>
      <c r="D12" s="235"/>
      <c r="E12" s="61" t="s">
        <v>105</v>
      </c>
      <c r="F12" s="9"/>
      <c r="I12" s="11"/>
      <c r="J12" s="11"/>
      <c r="K12" s="11"/>
      <c r="L12" s="11"/>
      <c r="M12" s="11"/>
      <c r="N12" s="11"/>
      <c r="O12" s="11"/>
      <c r="P12" s="11"/>
    </row>
    <row r="13" spans="2:16" ht="14.25" customHeight="1" thickBot="1" x14ac:dyDescent="0.35">
      <c r="B13" s="223" t="s">
        <v>226</v>
      </c>
      <c r="C13" s="224"/>
      <c r="D13" s="12" t="s">
        <v>12</v>
      </c>
      <c r="E13" s="13">
        <v>1</v>
      </c>
      <c r="F13" s="14"/>
      <c r="H13" s="15"/>
      <c r="I13" s="11"/>
      <c r="J13" s="11"/>
      <c r="K13" s="11"/>
      <c r="L13" s="11"/>
      <c r="M13" s="11"/>
      <c r="N13" s="11"/>
      <c r="O13" s="11"/>
      <c r="P13" s="11"/>
    </row>
    <row r="14" spans="2:16" ht="14.25" customHeight="1" thickBot="1" x14ac:dyDescent="0.35">
      <c r="H14" s="11"/>
      <c r="I14" s="11"/>
      <c r="J14" s="11"/>
      <c r="K14" s="11"/>
      <c r="L14" s="11"/>
      <c r="M14" s="11"/>
      <c r="N14" s="11"/>
      <c r="O14" s="11"/>
      <c r="P14" s="11"/>
    </row>
    <row r="15" spans="2:16" ht="14.25" customHeight="1" x14ac:dyDescent="0.3">
      <c r="B15" s="218" t="s">
        <v>13</v>
      </c>
      <c r="C15" s="219"/>
      <c r="D15" s="219"/>
      <c r="E15" s="220"/>
      <c r="H15" s="11"/>
      <c r="I15" s="11"/>
      <c r="J15" s="11"/>
      <c r="K15" s="11"/>
      <c r="L15" s="11"/>
      <c r="M15" s="11"/>
      <c r="N15" s="11"/>
      <c r="O15" s="11"/>
      <c r="P15" s="11"/>
    </row>
    <row r="16" spans="2:16" ht="14.25" customHeight="1" x14ac:dyDescent="0.3">
      <c r="B16" s="16">
        <v>1</v>
      </c>
      <c r="C16" s="225" t="s">
        <v>14</v>
      </c>
      <c r="D16" s="226"/>
      <c r="E16" s="17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14.25" customHeight="1" x14ac:dyDescent="0.3">
      <c r="B17" s="18">
        <v>2</v>
      </c>
      <c r="C17" s="227" t="s">
        <v>15</v>
      </c>
      <c r="D17" s="228"/>
      <c r="E17" s="17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14.25" customHeight="1" x14ac:dyDescent="0.3">
      <c r="B18" s="18">
        <v>3</v>
      </c>
      <c r="C18" s="227" t="s">
        <v>16</v>
      </c>
      <c r="D18" s="228"/>
      <c r="E18" s="17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14.25" customHeight="1" thickBot="1" x14ac:dyDescent="0.35">
      <c r="B19" s="19">
        <v>4</v>
      </c>
      <c r="C19" s="229" t="s">
        <v>17</v>
      </c>
      <c r="D19" s="230"/>
      <c r="E19" s="55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4.25" customHeight="1" thickBot="1" x14ac:dyDescent="0.35"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4.25" customHeight="1" x14ac:dyDescent="0.3">
      <c r="B21" s="231" t="s">
        <v>18</v>
      </c>
      <c r="C21" s="232"/>
      <c r="D21" s="232"/>
      <c r="E21" s="233"/>
      <c r="F21" s="20"/>
      <c r="H21" s="11"/>
      <c r="I21" s="11"/>
      <c r="J21" s="11"/>
      <c r="K21" s="11"/>
      <c r="L21" s="11"/>
      <c r="M21" s="11">
        <f>'11'!E91</f>
        <v>16655.190792319532</v>
      </c>
      <c r="N21" s="11"/>
      <c r="O21" s="11"/>
      <c r="P21" s="11"/>
    </row>
    <row r="22" spans="1:16" ht="14.25" customHeight="1" x14ac:dyDescent="0.3">
      <c r="B22" s="21" t="s">
        <v>19</v>
      </c>
      <c r="C22" s="22"/>
      <c r="D22" s="23"/>
      <c r="E22" s="17">
        <v>13814.53</v>
      </c>
      <c r="F22" s="24"/>
      <c r="H22" s="34"/>
      <c r="I22" s="34"/>
      <c r="J22" s="11"/>
      <c r="K22" s="11"/>
      <c r="L22" s="11"/>
      <c r="M22" s="11"/>
      <c r="N22" s="11"/>
      <c r="O22" s="11"/>
      <c r="P22" s="11"/>
    </row>
    <row r="23" spans="1:16" ht="14.25" customHeight="1" x14ac:dyDescent="0.3">
      <c r="B23" s="25" t="s">
        <v>74</v>
      </c>
      <c r="C23" s="26"/>
      <c r="D23" s="27"/>
      <c r="E23" s="17"/>
      <c r="F23" s="24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14.25" customHeight="1" x14ac:dyDescent="0.3">
      <c r="B24" s="25" t="s">
        <v>20</v>
      </c>
      <c r="C24" s="26"/>
      <c r="D24" s="27"/>
      <c r="E24" s="17"/>
      <c r="F24" s="24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14.25" customHeight="1" thickBot="1" x14ac:dyDescent="0.35">
      <c r="B25" s="191" t="s">
        <v>21</v>
      </c>
      <c r="C25" s="192"/>
      <c r="D25" s="193"/>
      <c r="E25" s="28">
        <v>13814.53</v>
      </c>
      <c r="F25" s="29"/>
      <c r="H25" s="11"/>
      <c r="I25" s="11"/>
      <c r="J25" s="11"/>
      <c r="K25" s="11"/>
      <c r="L25" s="11"/>
      <c r="M25" s="11"/>
      <c r="N25" s="11"/>
      <c r="O25" s="11"/>
      <c r="P25" s="11"/>
    </row>
    <row r="26" spans="1:16" ht="14.25" customHeight="1" thickBot="1" x14ac:dyDescent="0.35"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14.25" customHeight="1" thickBot="1" x14ac:dyDescent="0.35">
      <c r="B27" s="194" t="s">
        <v>22</v>
      </c>
      <c r="C27" s="195"/>
      <c r="D27" s="195"/>
      <c r="E27" s="196"/>
      <c r="F27" s="20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14.25" customHeight="1" x14ac:dyDescent="0.3">
      <c r="B28" s="212" t="s">
        <v>23</v>
      </c>
      <c r="C28" s="213"/>
      <c r="D28" s="213"/>
      <c r="E28" s="214"/>
      <c r="H28" s="11"/>
      <c r="I28" s="11"/>
      <c r="J28" s="11"/>
      <c r="K28" s="11"/>
      <c r="L28" s="11"/>
      <c r="M28" s="11"/>
      <c r="N28" s="11"/>
      <c r="O28" s="11"/>
      <c r="P28" s="11"/>
    </row>
    <row r="29" spans="1:16" ht="14.25" customHeight="1" x14ac:dyDescent="0.3">
      <c r="A29" s="2" t="s">
        <v>24</v>
      </c>
      <c r="B29" s="21" t="s">
        <v>25</v>
      </c>
      <c r="C29" s="22"/>
      <c r="D29" s="30">
        <v>8.3299999999999999E-2</v>
      </c>
      <c r="E29" s="57">
        <f>D29*E22</f>
        <v>1150.7503490000001</v>
      </c>
      <c r="F29" s="32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14.25" customHeight="1" x14ac:dyDescent="0.3">
      <c r="A30" s="2" t="s">
        <v>26</v>
      </c>
      <c r="B30" s="21" t="s">
        <v>27</v>
      </c>
      <c r="C30" s="22"/>
      <c r="D30" s="30">
        <v>0.121</v>
      </c>
      <c r="E30" s="57">
        <f>D30*E25</f>
        <v>1671.5581300000001</v>
      </c>
      <c r="F30" s="32"/>
      <c r="H30" s="11"/>
      <c r="I30" s="34"/>
      <c r="J30" s="11"/>
      <c r="K30" s="11"/>
      <c r="L30" s="11"/>
      <c r="M30" s="11"/>
      <c r="N30" s="11"/>
      <c r="O30" s="11"/>
      <c r="P30" s="11"/>
    </row>
    <row r="31" spans="1:16" ht="14.25" customHeight="1" thickBot="1" x14ac:dyDescent="0.35">
      <c r="B31" s="93" t="s">
        <v>163</v>
      </c>
      <c r="C31" s="94"/>
      <c r="D31" s="163">
        <f>D29+D30</f>
        <v>0.20429999999999998</v>
      </c>
      <c r="E31" s="33">
        <f>SUM(E29:E30)</f>
        <v>2822.3084790000003</v>
      </c>
      <c r="F31" s="29"/>
      <c r="H31" s="11"/>
      <c r="I31" s="11"/>
      <c r="J31" s="11"/>
      <c r="K31" s="11"/>
      <c r="L31" s="11"/>
      <c r="M31" s="11"/>
      <c r="N31" s="11"/>
      <c r="O31" s="11"/>
      <c r="P31" s="11"/>
    </row>
    <row r="32" spans="1:16" ht="14.25" customHeight="1" x14ac:dyDescent="0.3">
      <c r="B32" s="21" t="s">
        <v>250</v>
      </c>
      <c r="C32" s="22"/>
      <c r="D32" s="95">
        <f>D43*D31</f>
        <v>4.0451890319999996E-2</v>
      </c>
      <c r="E32" s="57">
        <f>D32*E25</f>
        <v>558.82385238234963</v>
      </c>
      <c r="F32" s="29"/>
      <c r="H32" s="11"/>
      <c r="I32" s="11"/>
      <c r="J32" s="11"/>
      <c r="K32" s="11"/>
      <c r="L32" s="11"/>
      <c r="M32" s="11"/>
      <c r="N32" s="11"/>
      <c r="O32" s="11"/>
      <c r="P32" s="11"/>
    </row>
    <row r="33" spans="1:16" ht="14.25" customHeight="1" thickBot="1" x14ac:dyDescent="0.35">
      <c r="B33" s="93" t="s">
        <v>28</v>
      </c>
      <c r="C33" s="94"/>
      <c r="D33" s="97">
        <f>SUM(D31+D32)</f>
        <v>0.24475189031999997</v>
      </c>
      <c r="E33" s="33">
        <f>SUM(E31:E32)</f>
        <v>3381.13233138235</v>
      </c>
      <c r="F33" s="29"/>
      <c r="H33" s="34"/>
      <c r="I33" s="11"/>
      <c r="J33" s="11"/>
      <c r="K33" s="11"/>
      <c r="L33" s="11"/>
      <c r="M33" s="11"/>
      <c r="N33" s="11"/>
      <c r="O33" s="11"/>
      <c r="P33" s="11"/>
    </row>
    <row r="34" spans="1:16" ht="14.25" customHeight="1" x14ac:dyDescent="0.3">
      <c r="B34" s="212" t="s">
        <v>29</v>
      </c>
      <c r="C34" s="213"/>
      <c r="D34" s="213"/>
      <c r="E34" s="214"/>
      <c r="H34" s="11"/>
      <c r="I34" s="11"/>
      <c r="J34" s="11"/>
      <c r="K34" s="11"/>
      <c r="L34" s="11"/>
      <c r="M34" s="11"/>
      <c r="N34" s="11"/>
      <c r="O34" s="11"/>
      <c r="P34" s="11"/>
    </row>
    <row r="35" spans="1:16" ht="14.25" customHeight="1" x14ac:dyDescent="0.3">
      <c r="A35" s="2" t="s">
        <v>24</v>
      </c>
      <c r="B35" s="21" t="s">
        <v>30</v>
      </c>
      <c r="C35" s="22"/>
      <c r="D35" s="30">
        <v>0.05</v>
      </c>
      <c r="E35" s="57">
        <f>D35*E$25</f>
        <v>690.7265000000001</v>
      </c>
      <c r="F35" s="32"/>
      <c r="H35" s="11"/>
      <c r="I35" s="11"/>
      <c r="J35" s="11"/>
      <c r="K35" s="11"/>
      <c r="L35" s="11"/>
      <c r="M35" s="11"/>
      <c r="N35" s="11"/>
      <c r="O35" s="11"/>
      <c r="P35" s="11"/>
    </row>
    <row r="36" spans="1:16" ht="14.25" customHeight="1" x14ac:dyDescent="0.3">
      <c r="A36" s="2" t="s">
        <v>26</v>
      </c>
      <c r="B36" s="21" t="s">
        <v>31</v>
      </c>
      <c r="C36" s="22"/>
      <c r="D36" s="30">
        <v>2.5002400000000001E-2</v>
      </c>
      <c r="E36" s="57">
        <f>ROUND(D36*E$25,2)</f>
        <v>345.4</v>
      </c>
      <c r="F36" s="32"/>
      <c r="H36" s="34"/>
      <c r="I36" s="11"/>
      <c r="J36" s="11"/>
      <c r="K36" s="11"/>
      <c r="L36" s="11"/>
      <c r="M36" s="11"/>
      <c r="N36" s="11"/>
      <c r="O36" s="11"/>
      <c r="P36" s="11"/>
    </row>
    <row r="37" spans="1:16" ht="14.25" customHeight="1" x14ac:dyDescent="0.3">
      <c r="A37" s="2" t="s">
        <v>32</v>
      </c>
      <c r="B37" s="21" t="s">
        <v>33</v>
      </c>
      <c r="C37" s="22"/>
      <c r="D37" s="35">
        <v>0.01</v>
      </c>
      <c r="E37" s="57">
        <f t="shared" ref="E37:E42" si="0">D37*E$25</f>
        <v>138.14530000000002</v>
      </c>
      <c r="F37" s="32"/>
      <c r="H37" s="11"/>
      <c r="I37" s="11"/>
      <c r="J37" s="11"/>
      <c r="K37" s="11"/>
      <c r="L37" s="11"/>
      <c r="M37" s="11"/>
      <c r="N37" s="11"/>
      <c r="O37" s="11"/>
      <c r="P37" s="11"/>
    </row>
    <row r="38" spans="1:16" ht="14.25" customHeight="1" x14ac:dyDescent="0.3">
      <c r="A38" s="2" t="s">
        <v>34</v>
      </c>
      <c r="B38" s="21" t="s">
        <v>35</v>
      </c>
      <c r="C38" s="22"/>
      <c r="D38" s="30">
        <v>1.4999999999999999E-2</v>
      </c>
      <c r="E38" s="57">
        <f t="shared" si="0"/>
        <v>207.21795</v>
      </c>
      <c r="F38" s="32"/>
      <c r="H38" s="11"/>
      <c r="I38" s="11"/>
      <c r="J38" s="11"/>
      <c r="K38" s="11"/>
      <c r="L38" s="11"/>
      <c r="M38" s="11"/>
      <c r="N38" s="11"/>
      <c r="O38" s="11"/>
      <c r="P38" s="11"/>
    </row>
    <row r="39" spans="1:16" ht="14.25" customHeight="1" x14ac:dyDescent="0.3">
      <c r="A39" s="2" t="s">
        <v>36</v>
      </c>
      <c r="B39" s="21" t="s">
        <v>37</v>
      </c>
      <c r="C39" s="22"/>
      <c r="D39" s="30">
        <v>0.01</v>
      </c>
      <c r="E39" s="57">
        <f t="shared" si="0"/>
        <v>138.14530000000002</v>
      </c>
      <c r="F39" s="32"/>
      <c r="H39" s="11"/>
      <c r="I39" s="11"/>
      <c r="J39" s="11"/>
      <c r="K39" s="11"/>
      <c r="L39" s="11"/>
      <c r="M39" s="11"/>
      <c r="N39" s="11"/>
      <c r="O39" s="11"/>
      <c r="P39" s="11"/>
    </row>
    <row r="40" spans="1:16" ht="14.25" customHeight="1" x14ac:dyDescent="0.3">
      <c r="A40" s="2" t="s">
        <v>38</v>
      </c>
      <c r="B40" s="21" t="s">
        <v>39</v>
      </c>
      <c r="C40" s="22"/>
      <c r="D40" s="30">
        <v>6.0000000000000001E-3</v>
      </c>
      <c r="E40" s="57">
        <f t="shared" si="0"/>
        <v>82.887180000000001</v>
      </c>
      <c r="F40" s="32"/>
      <c r="H40" s="11"/>
      <c r="I40" s="11"/>
      <c r="J40" s="11"/>
      <c r="K40" s="11"/>
      <c r="L40" s="11"/>
      <c r="M40" s="11"/>
      <c r="N40" s="11"/>
      <c r="O40" s="11"/>
      <c r="P40" s="11"/>
    </row>
    <row r="41" spans="1:16" ht="14.25" customHeight="1" x14ac:dyDescent="0.3">
      <c r="A41" s="2" t="s">
        <v>40</v>
      </c>
      <c r="B41" s="21" t="s">
        <v>41</v>
      </c>
      <c r="C41" s="22"/>
      <c r="D41" s="36">
        <v>2E-3</v>
      </c>
      <c r="E41" s="57">
        <f t="shared" si="0"/>
        <v>27.629060000000003</v>
      </c>
      <c r="F41" s="32"/>
      <c r="H41" s="11"/>
      <c r="I41" s="11"/>
      <c r="J41" s="11"/>
      <c r="K41" s="11"/>
      <c r="L41" s="11"/>
      <c r="M41" s="11"/>
      <c r="N41" s="11"/>
      <c r="O41" s="11"/>
      <c r="P41" s="11"/>
    </row>
    <row r="42" spans="1:16" ht="14.25" customHeight="1" x14ac:dyDescent="0.3">
      <c r="A42" s="2" t="s">
        <v>42</v>
      </c>
      <c r="B42" s="21" t="s">
        <v>43</v>
      </c>
      <c r="C42" s="22"/>
      <c r="D42" s="30">
        <v>0.08</v>
      </c>
      <c r="E42" s="57">
        <f t="shared" si="0"/>
        <v>1105.1624000000002</v>
      </c>
      <c r="F42" s="32"/>
      <c r="H42" s="245"/>
      <c r="I42" s="246">
        <v>22</v>
      </c>
      <c r="J42" s="11"/>
      <c r="K42" s="11"/>
      <c r="L42" s="11"/>
      <c r="M42" s="11"/>
      <c r="N42" s="11"/>
      <c r="O42" s="11"/>
      <c r="P42" s="11"/>
    </row>
    <row r="43" spans="1:16" ht="14.25" customHeight="1" thickBot="1" x14ac:dyDescent="0.35">
      <c r="B43" s="215" t="s">
        <v>44</v>
      </c>
      <c r="C43" s="216"/>
      <c r="D43" s="37">
        <f>SUM(D35:D42)</f>
        <v>0.1980024</v>
      </c>
      <c r="E43" s="33">
        <f>SUM(E35:E42)</f>
        <v>2735.31369</v>
      </c>
      <c r="F43" s="29"/>
      <c r="H43" s="245"/>
      <c r="I43" s="246"/>
      <c r="J43" s="34">
        <f>E43-H43</f>
        <v>2735.31369</v>
      </c>
      <c r="K43" s="11"/>
      <c r="L43" s="11"/>
      <c r="M43" s="11"/>
      <c r="N43" s="11"/>
      <c r="O43" s="11"/>
      <c r="P43" s="11"/>
    </row>
    <row r="44" spans="1:16" ht="14.25" customHeight="1" x14ac:dyDescent="0.3">
      <c r="B44" s="212" t="s">
        <v>45</v>
      </c>
      <c r="C44" s="213"/>
      <c r="D44" s="213"/>
      <c r="E44" s="214"/>
      <c r="H44" s="245"/>
      <c r="I44" s="246"/>
      <c r="J44" s="11"/>
      <c r="K44" s="11"/>
      <c r="L44" s="11"/>
      <c r="M44" s="11"/>
      <c r="N44" s="11"/>
      <c r="O44" s="11"/>
      <c r="P44" s="11"/>
    </row>
    <row r="45" spans="1:16" ht="14.25" customHeight="1" x14ac:dyDescent="0.3">
      <c r="A45" s="2" t="s">
        <v>24</v>
      </c>
      <c r="B45" s="201" t="s">
        <v>46</v>
      </c>
      <c r="C45" s="202"/>
      <c r="D45" s="203"/>
      <c r="E45" s="57">
        <v>0</v>
      </c>
      <c r="F45" s="32"/>
      <c r="H45" s="38"/>
      <c r="I45" s="39">
        <v>5.5</v>
      </c>
      <c r="J45" s="11"/>
      <c r="K45" s="11"/>
      <c r="L45" s="11"/>
      <c r="M45" s="11"/>
      <c r="N45" s="11"/>
      <c r="O45" s="11"/>
      <c r="P45" s="11"/>
    </row>
    <row r="46" spans="1:16" ht="14.25" customHeight="1" x14ac:dyDescent="0.3">
      <c r="A46" s="2" t="s">
        <v>26</v>
      </c>
      <c r="B46" s="201" t="s">
        <v>47</v>
      </c>
      <c r="C46" s="202"/>
      <c r="D46" s="203"/>
      <c r="E46" s="57">
        <v>589.77599999999995</v>
      </c>
      <c r="F46" s="32"/>
      <c r="H46" s="38"/>
      <c r="I46" s="41"/>
      <c r="J46" s="11"/>
      <c r="K46" s="11"/>
      <c r="L46" s="70"/>
      <c r="M46" s="11"/>
      <c r="N46" s="11"/>
      <c r="O46" s="11"/>
      <c r="P46" s="11"/>
    </row>
    <row r="47" spans="1:16" ht="14.25" customHeight="1" x14ac:dyDescent="0.3">
      <c r="A47" s="2" t="s">
        <v>32</v>
      </c>
      <c r="B47" s="21" t="s">
        <v>48</v>
      </c>
      <c r="C47" s="22"/>
      <c r="D47" s="40"/>
      <c r="E47" s="57">
        <v>165</v>
      </c>
      <c r="F47" s="32"/>
      <c r="H47" s="38"/>
      <c r="I47" s="41"/>
      <c r="J47" s="11"/>
      <c r="K47" s="11"/>
      <c r="L47" s="11"/>
      <c r="M47" s="11"/>
      <c r="N47" s="11"/>
      <c r="O47" s="11"/>
      <c r="P47" s="11"/>
    </row>
    <row r="48" spans="1:16" ht="14.25" customHeight="1" x14ac:dyDescent="0.3">
      <c r="A48" s="2" t="s">
        <v>34</v>
      </c>
      <c r="B48" s="201" t="s">
        <v>20</v>
      </c>
      <c r="C48" s="202"/>
      <c r="D48" s="203"/>
      <c r="E48" s="31"/>
      <c r="F48" s="32"/>
      <c r="H48" s="38"/>
      <c r="I48" s="58"/>
      <c r="J48" s="11"/>
      <c r="K48" s="11"/>
      <c r="L48" s="11"/>
      <c r="M48" s="11"/>
      <c r="N48" s="11"/>
      <c r="O48" s="11"/>
      <c r="P48" s="11"/>
    </row>
    <row r="49" spans="1:17" ht="14.25" customHeight="1" thickBot="1" x14ac:dyDescent="0.35">
      <c r="B49" s="215" t="s">
        <v>49</v>
      </c>
      <c r="C49" s="217"/>
      <c r="D49" s="216">
        <v>0</v>
      </c>
      <c r="E49" s="33">
        <f>SUM(E45:E47)</f>
        <v>754.77599999999995</v>
      </c>
      <c r="F49" s="29"/>
      <c r="H49" s="38"/>
      <c r="I49" s="41"/>
      <c r="J49" s="11"/>
      <c r="K49" s="11"/>
      <c r="L49" s="11"/>
      <c r="M49" s="11"/>
      <c r="N49" s="11"/>
      <c r="O49" s="11"/>
      <c r="P49" s="11"/>
    </row>
    <row r="50" spans="1:17" ht="14.25" customHeight="1" thickBot="1" x14ac:dyDescent="0.35">
      <c r="B50" s="191" t="s">
        <v>50</v>
      </c>
      <c r="C50" s="192"/>
      <c r="D50" s="193"/>
      <c r="E50" s="28">
        <f>E43+E33+E49</f>
        <v>6871.2220213823493</v>
      </c>
      <c r="F50" s="29"/>
      <c r="H50" s="38"/>
      <c r="I50" s="41"/>
      <c r="J50" s="11"/>
      <c r="K50" s="11"/>
      <c r="L50" s="11"/>
      <c r="M50" s="11"/>
      <c r="N50" s="11"/>
      <c r="O50" s="11"/>
      <c r="P50" s="11"/>
    </row>
    <row r="51" spans="1:17" ht="14.25" customHeight="1" thickBot="1" x14ac:dyDescent="0.35">
      <c r="H51" s="38"/>
      <c r="I51" s="41"/>
      <c r="J51" s="11"/>
      <c r="K51" s="11"/>
      <c r="L51" s="11"/>
      <c r="M51" s="11"/>
      <c r="N51" s="11"/>
      <c r="O51" s="11"/>
      <c r="P51" s="11"/>
    </row>
    <row r="52" spans="1:17" ht="14.25" customHeight="1" thickBot="1" x14ac:dyDescent="0.35">
      <c r="B52" s="194" t="s">
        <v>51</v>
      </c>
      <c r="C52" s="195"/>
      <c r="D52" s="195"/>
      <c r="E52" s="196"/>
      <c r="F52" s="20"/>
      <c r="H52" s="38"/>
      <c r="I52" s="41"/>
      <c r="J52" s="11"/>
      <c r="K52" s="11"/>
      <c r="L52" s="11"/>
      <c r="M52" s="11"/>
      <c r="N52" s="11"/>
      <c r="O52" s="11"/>
      <c r="P52" s="11"/>
    </row>
    <row r="53" spans="1:17" ht="14.25" customHeight="1" x14ac:dyDescent="0.3">
      <c r="A53" s="2" t="s">
        <v>24</v>
      </c>
      <c r="B53" s="21" t="s">
        <v>52</v>
      </c>
      <c r="C53" s="21"/>
      <c r="D53" s="30">
        <v>4.2119999999999996E-3</v>
      </c>
      <c r="E53" s="57">
        <f t="shared" ref="E53:E58" si="1">D53*E$25</f>
        <v>58.186800359999999</v>
      </c>
      <c r="F53" s="32"/>
      <c r="H53" s="245" t="s">
        <v>53</v>
      </c>
      <c r="I53" s="247">
        <v>5.5500000000000001E-2</v>
      </c>
      <c r="J53" s="11"/>
      <c r="K53" s="11"/>
      <c r="L53" s="11"/>
      <c r="M53" s="11"/>
      <c r="N53" s="11"/>
      <c r="O53" s="11"/>
      <c r="P53" s="11"/>
    </row>
    <row r="54" spans="1:17" ht="14.25" customHeight="1" x14ac:dyDescent="0.3">
      <c r="A54" s="2" t="s">
        <v>26</v>
      </c>
      <c r="B54" s="21" t="s">
        <v>54</v>
      </c>
      <c r="C54" s="21"/>
      <c r="D54" s="30">
        <v>3.3695999999999997E-4</v>
      </c>
      <c r="E54" s="57">
        <f t="shared" si="1"/>
        <v>4.6549440288000001</v>
      </c>
      <c r="F54" s="32"/>
      <c r="H54" s="245"/>
      <c r="I54" s="247"/>
      <c r="J54" s="11"/>
      <c r="K54" s="11"/>
      <c r="L54" s="11"/>
      <c r="M54" s="11"/>
      <c r="N54" s="11"/>
      <c r="O54" s="11"/>
      <c r="P54" s="11"/>
    </row>
    <row r="55" spans="1:17" ht="14.25" customHeight="1" x14ac:dyDescent="0.3">
      <c r="A55" s="2" t="s">
        <v>32</v>
      </c>
      <c r="B55" s="21" t="s">
        <v>55</v>
      </c>
      <c r="C55" s="21"/>
      <c r="D55" s="30">
        <v>0.02</v>
      </c>
      <c r="E55" s="57">
        <f t="shared" si="1"/>
        <v>276.29060000000004</v>
      </c>
      <c r="F55" s="32"/>
      <c r="H55" s="245" t="s">
        <v>56</v>
      </c>
      <c r="I55" s="246">
        <v>0.9</v>
      </c>
      <c r="J55" s="11"/>
      <c r="K55" s="11"/>
      <c r="L55" s="11"/>
      <c r="M55" s="105"/>
      <c r="N55" s="11"/>
      <c r="O55" s="11"/>
      <c r="P55" s="11"/>
      <c r="Q55" s="104"/>
    </row>
    <row r="56" spans="1:17" ht="14.25" customHeight="1" x14ac:dyDescent="0.3">
      <c r="A56" s="2" t="s">
        <v>34</v>
      </c>
      <c r="B56" s="21" t="s">
        <v>57</v>
      </c>
      <c r="C56" s="21"/>
      <c r="D56" s="30">
        <v>1.9444444444444445E-2</v>
      </c>
      <c r="E56" s="57">
        <f t="shared" si="1"/>
        <v>268.61586111111114</v>
      </c>
      <c r="F56" s="32"/>
      <c r="H56" s="245"/>
      <c r="I56" s="246"/>
      <c r="J56" s="11"/>
      <c r="K56" s="11"/>
      <c r="L56" s="11"/>
      <c r="M56" s="11"/>
      <c r="N56" s="11"/>
      <c r="O56" s="11"/>
      <c r="P56" s="11"/>
    </row>
    <row r="57" spans="1:17" ht="14.25" customHeight="1" x14ac:dyDescent="0.3">
      <c r="A57" s="2" t="s">
        <v>36</v>
      </c>
      <c r="B57" s="21" t="s">
        <v>58</v>
      </c>
      <c r="C57" s="22"/>
      <c r="D57" s="30">
        <v>2.8778244444444445E-3</v>
      </c>
      <c r="E57" s="57">
        <f t="shared" si="1"/>
        <v>39.755792122511117</v>
      </c>
      <c r="F57" s="32"/>
      <c r="H57" s="245"/>
      <c r="I57" s="246"/>
      <c r="J57" s="11"/>
      <c r="K57" s="11"/>
      <c r="L57" s="11"/>
      <c r="M57" s="11"/>
      <c r="N57" s="11"/>
      <c r="O57" s="11"/>
      <c r="P57" s="11"/>
    </row>
    <row r="58" spans="1:17" ht="14.25" customHeight="1" x14ac:dyDescent="0.3">
      <c r="A58" s="2" t="s">
        <v>38</v>
      </c>
      <c r="B58" s="21" t="s">
        <v>59</v>
      </c>
      <c r="C58" s="21"/>
      <c r="D58" s="30">
        <v>0.02</v>
      </c>
      <c r="E58" s="57">
        <f t="shared" si="1"/>
        <v>276.29060000000004</v>
      </c>
      <c r="F58" s="32"/>
      <c r="H58" s="38"/>
      <c r="I58" s="38"/>
      <c r="J58" s="11"/>
      <c r="K58" s="11"/>
      <c r="L58" s="11"/>
      <c r="M58" s="11"/>
      <c r="N58" s="11"/>
      <c r="O58" s="11"/>
      <c r="P58" s="11"/>
    </row>
    <row r="59" spans="1:17" ht="14.25" customHeight="1" thickBot="1" x14ac:dyDescent="0.35">
      <c r="B59" s="191" t="s">
        <v>60</v>
      </c>
      <c r="C59" s="192"/>
      <c r="D59" s="193"/>
      <c r="E59" s="28">
        <f>SUM(E53:E58)</f>
        <v>923.79459762242232</v>
      </c>
      <c r="F59" s="29"/>
      <c r="H59" s="38"/>
      <c r="I59" s="38"/>
      <c r="J59" s="11"/>
      <c r="K59" s="11"/>
      <c r="L59" s="11"/>
      <c r="M59" s="11"/>
      <c r="N59" s="11"/>
      <c r="O59" s="11"/>
      <c r="P59" s="11"/>
    </row>
    <row r="60" spans="1:17" ht="14.25" customHeight="1" thickBot="1" x14ac:dyDescent="0.35">
      <c r="H60" s="38"/>
      <c r="I60" s="38"/>
      <c r="J60" s="11"/>
      <c r="K60" s="11"/>
      <c r="L60" s="11"/>
      <c r="M60" s="11"/>
      <c r="N60" s="11"/>
      <c r="O60" s="11"/>
      <c r="P60" s="11"/>
    </row>
    <row r="61" spans="1:17" ht="14.25" customHeight="1" x14ac:dyDescent="0.3">
      <c r="B61" s="204" t="s">
        <v>75</v>
      </c>
      <c r="C61" s="205"/>
      <c r="D61" s="205"/>
      <c r="E61" s="206"/>
      <c r="F61" s="20"/>
      <c r="H61" s="38"/>
      <c r="I61" s="38"/>
      <c r="J61" s="11"/>
      <c r="K61" s="11"/>
      <c r="L61" s="11"/>
      <c r="M61" s="11"/>
      <c r="N61" s="11"/>
      <c r="O61" s="11"/>
      <c r="P61" s="11"/>
    </row>
    <row r="62" spans="1:17" ht="14.25" customHeight="1" x14ac:dyDescent="0.3">
      <c r="B62" s="207"/>
      <c r="C62" s="208"/>
      <c r="D62" s="208"/>
      <c r="E62" s="209"/>
      <c r="H62" s="11"/>
      <c r="I62" s="11"/>
      <c r="J62" s="11"/>
      <c r="K62" s="11"/>
      <c r="L62" s="11"/>
      <c r="M62" s="11"/>
      <c r="N62" s="11"/>
      <c r="O62" s="11"/>
      <c r="P62" s="11"/>
    </row>
    <row r="63" spans="1:17" ht="14.25" customHeight="1" x14ac:dyDescent="0.3">
      <c r="A63" s="2" t="s">
        <v>24</v>
      </c>
      <c r="B63" s="201" t="s">
        <v>76</v>
      </c>
      <c r="C63" s="203"/>
      <c r="D63" s="30">
        <v>9.2999999999999992E-3</v>
      </c>
      <c r="E63" s="57">
        <f t="shared" ref="E63:E68" si="2">D63*E$25</f>
        <v>128.47512900000001</v>
      </c>
      <c r="F63" s="32"/>
      <c r="H63" s="38"/>
      <c r="I63" s="38"/>
      <c r="J63" s="11"/>
      <c r="K63" s="11"/>
      <c r="L63" s="11"/>
      <c r="M63" s="11"/>
      <c r="N63" s="11"/>
      <c r="O63" s="11"/>
      <c r="P63" s="11"/>
    </row>
    <row r="64" spans="1:17" ht="14.25" customHeight="1" x14ac:dyDescent="0.3">
      <c r="A64" s="2" t="s">
        <v>26</v>
      </c>
      <c r="B64" s="101" t="s">
        <v>77</v>
      </c>
      <c r="C64" s="98"/>
      <c r="D64" s="30">
        <v>1.66E-2</v>
      </c>
      <c r="E64" s="57">
        <f t="shared" si="2"/>
        <v>229.32119800000001</v>
      </c>
      <c r="F64" s="32"/>
      <c r="H64" s="38" t="s">
        <v>78</v>
      </c>
      <c r="I64" s="39">
        <v>5.96</v>
      </c>
      <c r="J64" s="11"/>
      <c r="K64" s="11"/>
      <c r="L64" s="11"/>
      <c r="M64" s="78"/>
      <c r="N64" s="11"/>
      <c r="O64" s="11"/>
      <c r="P64" s="11"/>
    </row>
    <row r="65" spans="1:16" ht="14.25" customHeight="1" x14ac:dyDescent="0.3">
      <c r="A65" s="2" t="s">
        <v>32</v>
      </c>
      <c r="B65" s="101" t="s">
        <v>79</v>
      </c>
      <c r="C65" s="98"/>
      <c r="D65" s="30">
        <v>2.0000000000000001E-4</v>
      </c>
      <c r="E65" s="57">
        <f t="shared" si="2"/>
        <v>2.7629060000000001</v>
      </c>
      <c r="F65" s="32"/>
      <c r="H65" s="38" t="s">
        <v>80</v>
      </c>
      <c r="I65" s="42">
        <v>1.4999999999999999E-2</v>
      </c>
      <c r="J65" s="11"/>
      <c r="K65" s="11"/>
      <c r="L65" s="11"/>
      <c r="M65" s="11"/>
      <c r="N65" s="11"/>
      <c r="O65" s="11"/>
      <c r="P65" s="11"/>
    </row>
    <row r="66" spans="1:16" ht="14.25" customHeight="1" x14ac:dyDescent="0.3">
      <c r="A66" s="2" t="s">
        <v>34</v>
      </c>
      <c r="B66" s="101" t="s">
        <v>81</v>
      </c>
      <c r="C66" s="98"/>
      <c r="D66" s="30">
        <v>2.7000000000000001E-3</v>
      </c>
      <c r="E66" s="57">
        <f t="shared" si="2"/>
        <v>37.299231000000006</v>
      </c>
      <c r="F66" s="32"/>
      <c r="H66" s="38" t="s">
        <v>82</v>
      </c>
      <c r="I66" s="42">
        <v>1.8599999999999998E-2</v>
      </c>
      <c r="J66" s="11"/>
      <c r="K66" s="11"/>
      <c r="L66" s="11"/>
      <c r="M66" s="11"/>
      <c r="N66" s="78"/>
      <c r="O66" s="11"/>
      <c r="P66" s="11"/>
    </row>
    <row r="67" spans="1:16" ht="14.25" customHeight="1" x14ac:dyDescent="0.3">
      <c r="A67" s="2" t="s">
        <v>36</v>
      </c>
      <c r="B67" s="101" t="s">
        <v>83</v>
      </c>
      <c r="C67" s="98"/>
      <c r="D67" s="30">
        <v>2.8E-3</v>
      </c>
      <c r="E67" s="57">
        <f t="shared" si="2"/>
        <v>38.680683999999999</v>
      </c>
      <c r="F67" s="32"/>
      <c r="H67" s="245" t="s">
        <v>84</v>
      </c>
      <c r="I67" s="247">
        <v>0.02</v>
      </c>
      <c r="J67" s="11"/>
      <c r="K67" s="105"/>
      <c r="L67" s="11"/>
      <c r="M67" s="11"/>
      <c r="N67" s="11"/>
      <c r="O67" s="11"/>
      <c r="P67" s="11"/>
    </row>
    <row r="68" spans="1:16" ht="14.25" customHeight="1" x14ac:dyDescent="0.3">
      <c r="A68" s="2" t="s">
        <v>38</v>
      </c>
      <c r="B68" s="101" t="s">
        <v>20</v>
      </c>
      <c r="C68" s="98"/>
      <c r="D68" s="30">
        <v>0</v>
      </c>
      <c r="E68" s="57">
        <f t="shared" si="2"/>
        <v>0</v>
      </c>
      <c r="F68" s="32"/>
      <c r="H68" s="245"/>
      <c r="I68" s="247"/>
      <c r="J68" s="11"/>
      <c r="K68" s="11"/>
      <c r="L68" s="11"/>
      <c r="M68" s="11"/>
      <c r="N68" s="11"/>
      <c r="O68" s="11"/>
      <c r="P68" s="11"/>
    </row>
    <row r="69" spans="1:16" ht="14.25" customHeight="1" x14ac:dyDescent="0.3">
      <c r="B69" s="102" t="s">
        <v>164</v>
      </c>
      <c r="C69" s="96"/>
      <c r="D69" s="100">
        <v>0.1056</v>
      </c>
      <c r="E69" s="99">
        <f>SUM(E63:E68)</f>
        <v>436.53914800000001</v>
      </c>
      <c r="F69" s="32"/>
      <c r="H69" s="92"/>
      <c r="I69" s="42"/>
      <c r="J69" s="11"/>
      <c r="K69" s="11"/>
      <c r="L69" s="11"/>
      <c r="M69" s="11"/>
      <c r="N69" s="11"/>
      <c r="O69" s="11"/>
      <c r="P69" s="11"/>
    </row>
    <row r="70" spans="1:16" ht="14.25" customHeight="1" x14ac:dyDescent="0.3">
      <c r="B70" s="201" t="s">
        <v>165</v>
      </c>
      <c r="C70" s="202"/>
      <c r="D70" s="203"/>
      <c r="E70" s="57">
        <f>D43*E69</f>
        <v>86.435798997955203</v>
      </c>
      <c r="F70" s="32"/>
      <c r="H70" s="92"/>
      <c r="I70" s="42"/>
      <c r="J70" s="11"/>
      <c r="K70" s="11"/>
      <c r="L70" s="11"/>
      <c r="M70" s="11"/>
      <c r="N70" s="11"/>
      <c r="O70" s="11"/>
      <c r="P70" s="11"/>
    </row>
    <row r="71" spans="1:16" ht="14.25" customHeight="1" thickBot="1" x14ac:dyDescent="0.35">
      <c r="B71" s="210" t="s">
        <v>86</v>
      </c>
      <c r="C71" s="211"/>
      <c r="D71" s="211"/>
      <c r="E71" s="103">
        <f>SUM(E69:E70)</f>
        <v>522.97494699795516</v>
      </c>
      <c r="F71" s="29"/>
      <c r="H71" s="43"/>
      <c r="I71" s="11"/>
      <c r="J71" s="11"/>
      <c r="K71" s="11"/>
      <c r="L71" s="11"/>
      <c r="M71" s="11"/>
      <c r="N71" s="11"/>
      <c r="O71" s="11"/>
      <c r="P71" s="11"/>
    </row>
    <row r="72" spans="1:16" ht="12.75" customHeight="1" thickBot="1" x14ac:dyDescent="0.35">
      <c r="H72" s="43"/>
      <c r="I72" s="11"/>
      <c r="J72" s="11"/>
      <c r="K72" s="11"/>
      <c r="L72" s="11"/>
      <c r="M72" s="11"/>
      <c r="N72" s="11"/>
      <c r="O72" s="11"/>
      <c r="P72" s="11"/>
    </row>
    <row r="73" spans="1:16" ht="14.25" customHeight="1" thickBot="1" x14ac:dyDescent="0.35">
      <c r="B73" s="194" t="s">
        <v>61</v>
      </c>
      <c r="C73" s="195"/>
      <c r="D73" s="195"/>
      <c r="E73" s="196"/>
      <c r="F73" s="20"/>
      <c r="H73" s="34"/>
      <c r="I73" s="11"/>
      <c r="J73" s="11"/>
      <c r="K73" s="11"/>
      <c r="L73" s="11"/>
      <c r="M73" s="11"/>
      <c r="N73" s="11"/>
      <c r="O73" s="11"/>
      <c r="P73" s="11"/>
    </row>
    <row r="74" spans="1:16" ht="14.25" customHeight="1" x14ac:dyDescent="0.3">
      <c r="A74" s="2" t="s">
        <v>24</v>
      </c>
      <c r="B74" s="201" t="s">
        <v>104</v>
      </c>
      <c r="C74" s="202"/>
      <c r="D74" s="203"/>
      <c r="E74" s="57">
        <v>50</v>
      </c>
      <c r="F74" s="24"/>
      <c r="H74" s="11"/>
      <c r="I74" s="11"/>
      <c r="J74" s="11"/>
      <c r="K74" s="11"/>
      <c r="L74" s="11"/>
      <c r="M74" s="11"/>
      <c r="N74" s="11"/>
      <c r="O74" s="11"/>
      <c r="P74" s="11"/>
    </row>
    <row r="75" spans="1:16" ht="14.25" customHeight="1" x14ac:dyDescent="0.3">
      <c r="A75" s="2" t="s">
        <v>26</v>
      </c>
      <c r="B75" s="25" t="s">
        <v>96</v>
      </c>
      <c r="C75" s="26"/>
      <c r="D75" s="44"/>
      <c r="E75" s="57">
        <v>0</v>
      </c>
      <c r="F75" s="24"/>
      <c r="H75" s="11"/>
      <c r="I75" s="11"/>
      <c r="J75" s="11"/>
      <c r="K75" s="11"/>
      <c r="L75" s="11"/>
      <c r="M75" s="11"/>
      <c r="N75" s="11"/>
      <c r="O75" s="11"/>
      <c r="P75" s="11"/>
    </row>
    <row r="76" spans="1:16" ht="14.25" customHeight="1" x14ac:dyDescent="0.3">
      <c r="A76" s="2" t="s">
        <v>32</v>
      </c>
      <c r="B76" s="25" t="s">
        <v>62</v>
      </c>
      <c r="C76" s="26"/>
      <c r="D76" s="44"/>
      <c r="E76" s="57">
        <v>90</v>
      </c>
      <c r="F76" s="24"/>
      <c r="H76" s="11"/>
      <c r="I76" s="11"/>
      <c r="J76" s="11"/>
      <c r="K76" s="11"/>
      <c r="L76" s="11"/>
      <c r="M76" s="11"/>
      <c r="N76" s="11"/>
      <c r="O76" s="11"/>
      <c r="P76" s="11"/>
    </row>
    <row r="77" spans="1:16" ht="14.25" customHeight="1" x14ac:dyDescent="0.3">
      <c r="B77" s="25" t="s">
        <v>101</v>
      </c>
      <c r="C77" s="26"/>
      <c r="D77" s="44"/>
      <c r="E77" s="57">
        <v>0</v>
      </c>
      <c r="F77" s="24"/>
      <c r="H77" s="11"/>
      <c r="I77" s="11"/>
      <c r="J77" s="11"/>
      <c r="K77" s="11"/>
      <c r="L77" s="11"/>
      <c r="M77" s="11"/>
      <c r="N77" s="11"/>
      <c r="O77" s="11"/>
      <c r="P77" s="11"/>
    </row>
    <row r="78" spans="1:16" ht="14.25" customHeight="1" x14ac:dyDescent="0.3">
      <c r="B78" s="25" t="s">
        <v>97</v>
      </c>
      <c r="C78" s="26"/>
      <c r="D78" s="44"/>
      <c r="E78" s="57">
        <v>0</v>
      </c>
      <c r="F78" s="24"/>
      <c r="H78" s="11"/>
      <c r="I78" s="11"/>
      <c r="J78" s="11"/>
      <c r="K78" s="11"/>
      <c r="L78" s="11"/>
      <c r="M78" s="11"/>
      <c r="N78" s="11"/>
      <c r="O78" s="11"/>
      <c r="P78" s="11"/>
    </row>
    <row r="79" spans="1:16" ht="14.25" customHeight="1" x14ac:dyDescent="0.3">
      <c r="A79" s="2" t="s">
        <v>34</v>
      </c>
      <c r="B79" s="25" t="s">
        <v>166</v>
      </c>
      <c r="C79" s="26"/>
      <c r="D79" s="44"/>
      <c r="E79" s="57">
        <v>0</v>
      </c>
      <c r="F79" s="24"/>
      <c r="H79" s="11"/>
      <c r="I79" s="11"/>
      <c r="J79" s="11"/>
      <c r="L79" s="11"/>
      <c r="M79" s="11"/>
      <c r="N79" s="11"/>
      <c r="O79" s="11"/>
      <c r="P79" s="11"/>
    </row>
    <row r="80" spans="1:16" ht="14.25" customHeight="1" thickBot="1" x14ac:dyDescent="0.35">
      <c r="B80" s="191" t="s">
        <v>63</v>
      </c>
      <c r="C80" s="192"/>
      <c r="D80" s="193"/>
      <c r="E80" s="28">
        <f>SUM(E74:E79)</f>
        <v>140</v>
      </c>
      <c r="F80" s="29"/>
      <c r="H80" s="11"/>
      <c r="I80" s="11"/>
      <c r="J80" s="11"/>
      <c r="L80" s="11"/>
      <c r="M80" s="11"/>
      <c r="N80" s="11"/>
      <c r="O80" s="11"/>
      <c r="P80" s="11"/>
    </row>
    <row r="81" spans="1:16" ht="14.25" customHeight="1" thickBot="1" x14ac:dyDescent="0.35">
      <c r="H81" s="11"/>
      <c r="I81" s="11"/>
      <c r="J81" s="11"/>
      <c r="L81" s="11"/>
      <c r="M81" s="11"/>
      <c r="N81" s="11"/>
      <c r="O81" s="11"/>
      <c r="P81" s="11"/>
    </row>
    <row r="82" spans="1:16" ht="14.25" customHeight="1" thickBot="1" x14ac:dyDescent="0.35">
      <c r="B82" s="194" t="s">
        <v>64</v>
      </c>
      <c r="C82" s="195"/>
      <c r="D82" s="195"/>
      <c r="E82" s="196"/>
      <c r="F82" s="20"/>
      <c r="H82" s="11"/>
      <c r="I82" s="11"/>
      <c r="J82" s="11"/>
      <c r="L82" s="11"/>
      <c r="M82" s="11"/>
      <c r="N82" s="11"/>
      <c r="O82" s="11"/>
      <c r="P82" s="11"/>
    </row>
    <row r="83" spans="1:16" ht="14.25" customHeight="1" x14ac:dyDescent="0.3">
      <c r="A83" s="2" t="s">
        <v>24</v>
      </c>
      <c r="B83" s="45" t="s">
        <v>65</v>
      </c>
      <c r="C83" s="46"/>
      <c r="D83" s="35">
        <f>'1'!D83</f>
        <v>0</v>
      </c>
      <c r="E83" s="57">
        <f>D83*(E80+E71+E59+E50+E25)</f>
        <v>0</v>
      </c>
      <c r="F83" s="32"/>
      <c r="H83" s="11"/>
      <c r="I83" s="161"/>
      <c r="J83" s="11"/>
      <c r="K83" s="54"/>
      <c r="L83" s="11"/>
      <c r="M83" s="11"/>
      <c r="N83" s="11"/>
      <c r="O83" s="34"/>
      <c r="P83" s="11"/>
    </row>
    <row r="84" spans="1:16" ht="14.25" customHeight="1" x14ac:dyDescent="0.3">
      <c r="A84" s="2" t="s">
        <v>26</v>
      </c>
      <c r="B84" s="21" t="s">
        <v>66</v>
      </c>
      <c r="C84" s="22"/>
      <c r="D84" s="35">
        <f>'1'!D84</f>
        <v>-1.3677647119945452E-2</v>
      </c>
      <c r="E84" s="57">
        <f>D84*(E83+E80+E71+E59+E50+E25)</f>
        <v>-304.6356904511602</v>
      </c>
      <c r="F84" s="32"/>
      <c r="H84" s="34"/>
      <c r="I84" s="34"/>
      <c r="J84" s="11"/>
      <c r="K84" s="162"/>
      <c r="L84" s="11"/>
      <c r="M84" s="11"/>
      <c r="N84" s="11"/>
      <c r="O84" s="11"/>
      <c r="P84" s="11"/>
    </row>
    <row r="85" spans="1:16" ht="14.25" customHeight="1" x14ac:dyDescent="0.3">
      <c r="B85" s="21" t="s">
        <v>67</v>
      </c>
      <c r="C85" s="22"/>
      <c r="D85" s="30">
        <v>6.5000000000000006E-3</v>
      </c>
      <c r="E85" s="57">
        <f>D85*(E84+E83+E80+E71+E59+E50+E25)</f>
        <v>142.79125819108521</v>
      </c>
      <c r="F85" s="32"/>
      <c r="H85" s="34"/>
      <c r="I85" s="34"/>
      <c r="J85" s="11"/>
      <c r="L85" s="11"/>
      <c r="M85" s="11"/>
      <c r="N85" s="11"/>
      <c r="O85" s="34"/>
      <c r="P85" s="11"/>
    </row>
    <row r="86" spans="1:16" ht="14.25" customHeight="1" x14ac:dyDescent="0.3">
      <c r="B86" s="47" t="s">
        <v>68</v>
      </c>
      <c r="C86" s="48"/>
      <c r="D86" s="30">
        <v>0.03</v>
      </c>
      <c r="E86" s="57">
        <f>D86*(E83+E85+E84+E80+E71+E59+E50+E25)</f>
        <v>663.3203140122796</v>
      </c>
      <c r="F86" s="32"/>
      <c r="H86" s="11"/>
      <c r="I86" s="11"/>
      <c r="J86" s="11"/>
      <c r="L86" s="11"/>
      <c r="M86" s="11"/>
      <c r="N86" s="11"/>
      <c r="O86" s="34"/>
      <c r="P86" s="11"/>
    </row>
    <row r="87" spans="1:16" ht="14.25" customHeight="1" x14ac:dyDescent="0.3">
      <c r="B87" s="21" t="s">
        <v>69</v>
      </c>
      <c r="C87" s="22"/>
      <c r="D87" s="35">
        <v>0.05</v>
      </c>
      <c r="E87" s="57">
        <f>D87*(E84+E83+E86+E85+E80+E71+E59+E50+E25)</f>
        <v>1138.6998723877466</v>
      </c>
      <c r="F87" s="32"/>
      <c r="H87" s="11"/>
      <c r="I87" s="11"/>
      <c r="J87" s="11"/>
      <c r="L87" s="11"/>
      <c r="M87" s="11"/>
      <c r="N87" s="11"/>
      <c r="O87" s="34"/>
      <c r="P87" s="11"/>
    </row>
    <row r="88" spans="1:16" ht="14.25" customHeight="1" x14ac:dyDescent="0.3">
      <c r="B88" s="25" t="s">
        <v>87</v>
      </c>
      <c r="C88" s="26"/>
      <c r="D88" s="35">
        <v>3.5999999999999997E-2</v>
      </c>
      <c r="E88" s="57">
        <f>D88*(E84+E85+E87+E86+E83+E71+E59+E50+E25)</f>
        <v>855.81710352513642</v>
      </c>
      <c r="F88" s="32"/>
      <c r="H88" s="11"/>
      <c r="I88" s="11"/>
      <c r="J88" s="11"/>
      <c r="L88" s="11"/>
      <c r="M88" s="11"/>
      <c r="N88" s="11"/>
      <c r="O88" s="34"/>
      <c r="P88" s="11"/>
    </row>
    <row r="89" spans="1:16" ht="14.25" customHeight="1" thickBot="1" x14ac:dyDescent="0.35">
      <c r="B89" s="191" t="s">
        <v>70</v>
      </c>
      <c r="C89" s="192"/>
      <c r="D89" s="193"/>
      <c r="E89" s="49">
        <f>SUM(E83:E88)</f>
        <v>2495.9928576650873</v>
      </c>
      <c r="F89" s="29"/>
      <c r="H89" s="11"/>
      <c r="I89" s="11"/>
      <c r="J89" s="11"/>
      <c r="L89" s="11"/>
      <c r="M89" s="11"/>
      <c r="N89" s="11"/>
      <c r="O89" s="34"/>
      <c r="P89" s="11"/>
    </row>
    <row r="90" spans="1:16" ht="14.25" customHeight="1" thickBot="1" x14ac:dyDescent="0.35">
      <c r="H90" s="11"/>
      <c r="I90" s="11"/>
      <c r="L90" s="11"/>
      <c r="M90" s="11"/>
      <c r="N90" s="11"/>
      <c r="O90" s="11"/>
      <c r="P90" s="11"/>
    </row>
    <row r="91" spans="1:16" ht="14.25" customHeight="1" thickBot="1" x14ac:dyDescent="0.35">
      <c r="B91" s="197" t="s">
        <v>71</v>
      </c>
      <c r="C91" s="198"/>
      <c r="D91" s="198"/>
      <c r="E91" s="50">
        <f>SUM(E89+E80+E71+E59+E50+E25)</f>
        <v>24768.514423667817</v>
      </c>
      <c r="F91" s="29"/>
      <c r="H91" s="54"/>
      <c r="J91" s="11"/>
      <c r="L91" s="11"/>
      <c r="M91" s="11"/>
      <c r="N91" s="11"/>
      <c r="O91" s="11"/>
      <c r="P91" s="11"/>
    </row>
    <row r="92" spans="1:16" ht="14.25" customHeight="1" thickBot="1" x14ac:dyDescent="0.35">
      <c r="H92" s="11"/>
      <c r="I92" s="11"/>
    </row>
    <row r="93" spans="1:16" ht="14.25" customHeight="1" thickBot="1" x14ac:dyDescent="0.35">
      <c r="B93" s="199" t="s">
        <v>72</v>
      </c>
      <c r="C93" s="200"/>
      <c r="D93" s="200"/>
      <c r="E93" s="51">
        <f>E91*E13</f>
        <v>24768.514423667817</v>
      </c>
      <c r="F93" s="29"/>
      <c r="H93" s="54"/>
    </row>
    <row r="94" spans="1:16" ht="14.25" customHeight="1" x14ac:dyDescent="0.3">
      <c r="B94" s="10"/>
      <c r="C94" s="10"/>
      <c r="D94" s="52"/>
      <c r="E94" s="9"/>
      <c r="F94" s="53"/>
      <c r="G94" s="53"/>
      <c r="H94" s="53"/>
    </row>
    <row r="95" spans="1:16" ht="14.25" customHeight="1" x14ac:dyDescent="0.3">
      <c r="M95" s="54"/>
    </row>
  </sheetData>
  <mergeCells count="49">
    <mergeCell ref="B93:D93"/>
    <mergeCell ref="B73:E73"/>
    <mergeCell ref="B74:D74"/>
    <mergeCell ref="B80:D80"/>
    <mergeCell ref="B82:E82"/>
    <mergeCell ref="B89:D89"/>
    <mergeCell ref="B91:D91"/>
    <mergeCell ref="B71:D71"/>
    <mergeCell ref="H53:H54"/>
    <mergeCell ref="I53:I54"/>
    <mergeCell ref="H55:H57"/>
    <mergeCell ref="I55:I57"/>
    <mergeCell ref="B59:D59"/>
    <mergeCell ref="B61:E61"/>
    <mergeCell ref="B62:E62"/>
    <mergeCell ref="B63:C63"/>
    <mergeCell ref="H67:H68"/>
    <mergeCell ref="I67:I68"/>
    <mergeCell ref="B70:D70"/>
    <mergeCell ref="B52:E52"/>
    <mergeCell ref="B28:E28"/>
    <mergeCell ref="B34:E34"/>
    <mergeCell ref="H42:H44"/>
    <mergeCell ref="I42:I44"/>
    <mergeCell ref="B43:C43"/>
    <mergeCell ref="B44:E44"/>
    <mergeCell ref="B45:D45"/>
    <mergeCell ref="B46:D46"/>
    <mergeCell ref="B48:D48"/>
    <mergeCell ref="B49:D49"/>
    <mergeCell ref="B50:D50"/>
    <mergeCell ref="B27:E27"/>
    <mergeCell ref="B10:E10"/>
    <mergeCell ref="B11:C11"/>
    <mergeCell ref="B12:D12"/>
    <mergeCell ref="B13:C13"/>
    <mergeCell ref="B15:E15"/>
    <mergeCell ref="C16:D16"/>
    <mergeCell ref="C17:D17"/>
    <mergeCell ref="C18:D18"/>
    <mergeCell ref="C19:D19"/>
    <mergeCell ref="B21:E21"/>
    <mergeCell ref="B25:D25"/>
    <mergeCell ref="B8:D8"/>
    <mergeCell ref="B2:E2"/>
    <mergeCell ref="B4:E4"/>
    <mergeCell ref="B5:D5"/>
    <mergeCell ref="B6:D6"/>
    <mergeCell ref="B7:D7"/>
  </mergeCells>
  <dataValidations count="10">
    <dataValidation allowBlank="1" showInputMessage="1" showErrorMessage="1" errorTitle="Valor inválido" error="Mínimo aceito = 2%_x000a_Máximo aceito = 5%" sqref="D88" xr:uid="{CCFBDEB4-6DE9-43A5-9172-81AF7ACF7AA5}"/>
    <dataValidation operator="lessThanOrEqual" showInputMessage="1" errorTitle="Valor inválido" error="Máximo aceito = 5%" sqref="D83" xr:uid="{242BBED7-B56D-4039-8EAD-4506DCB45740}"/>
    <dataValidation type="decimal" allowBlank="1" showInputMessage="1" showErrorMessage="1" errorTitle="Valor inválido" error="Mínimo aceito = 2%_x000a_Máximo aceito = 5%" sqref="D87" xr:uid="{6BBC5036-E9CE-4AC6-8585-A298566BCF21}">
      <formula1>0.02</formula1>
      <formula2>0.05</formula2>
    </dataValidation>
    <dataValidation type="decimal" operator="lessThanOrEqual" allowBlank="1" showInputMessage="1" showErrorMessage="1" errorTitle="Valor inválido" error="Máximo aceito = 6%" sqref="D41 D37" xr:uid="{27F7D181-F961-4E75-A387-C28337C1F482}">
      <formula1>0.06</formula1>
    </dataValidation>
    <dataValidation type="decimal" operator="lessThanOrEqual" allowBlank="1" showInputMessage="1" showErrorMessage="1" errorTitle="Valor inválido" error="Deve ser igual ou inferior a 2,00% (Ref.: IBGE)" sqref="I67" xr:uid="{35B320EF-9AC7-4DA6-B60D-46A1526C964C}">
      <formula1>0.02</formula1>
    </dataValidation>
    <dataValidation type="decimal" operator="lessThanOrEqual" allowBlank="1" showInputMessage="1" showErrorMessage="1" errorTitle="Valor inválido" error="Deve ser igual ou inferior a 8,00% (Ref.: IBGE)" sqref="I66" xr:uid="{0F29DF24-2E94-4ACC-9967-C8FE07072C7C}">
      <formula1>0.08</formula1>
    </dataValidation>
    <dataValidation type="decimal" operator="lessThanOrEqual" allowBlank="1" showInputMessage="1" showErrorMessage="1" errorTitle="Valor inválido" error="Deve ser igual ou inferior a 1,50% (Ref.: IBGE)" sqref="I65" xr:uid="{FA68BC1A-FC19-4B06-8AB8-EC7961EFE7E4}">
      <formula1>0.015</formula1>
    </dataValidation>
    <dataValidation type="decimal" operator="lessThanOrEqual" allowBlank="1" showInputMessage="1" showErrorMessage="1" errorTitle="Valor inválido" error="Deve ser igual ou inferior a 5,55 (Ref.: TCU)" sqref="I53" xr:uid="{0512356A-2809-4D58-BA30-ED67700EB3D5}">
      <formula1>0.0555</formula1>
    </dataValidation>
    <dataValidation type="decimal" operator="lessThanOrEqual" allowBlank="1" showInputMessage="1" showErrorMessage="1" errorTitle="Valor inválido" error="Deve ser igual ou inferior a 5,96 (Ref.: IBGE)" sqref="I64" xr:uid="{6D7C6664-E30D-4130-B49B-6D4A335C0CA2}">
      <formula1>5.96</formula1>
    </dataValidation>
    <dataValidation type="list" allowBlank="1" showInputMessage="1" showErrorMessage="1" sqref="H13" xr:uid="{E60AC172-9DBC-4AF6-894E-B6710673EC29}">
      <formula1>$J$2:$J$3</formula1>
    </dataValidation>
  </dataValidations>
  <pageMargins left="0.511811024" right="0.511811024" top="0.78740157499999996" bottom="0.78740157499999996" header="0.31496062000000002" footer="0.31496062000000002"/>
  <pageSetup paperSize="9" scale="56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08759-2EA9-4A2A-80B2-551CC9831019}">
  <sheetPr codeName="Planilha11">
    <pageSetUpPr fitToPage="1"/>
  </sheetPr>
  <dimension ref="A1:Q95"/>
  <sheetViews>
    <sheetView topLeftCell="A48" zoomScaleNormal="100" workbookViewId="0">
      <selection activeCell="D64" sqref="D64"/>
    </sheetView>
  </sheetViews>
  <sheetFormatPr defaultColWidth="9.109375" defaultRowHeight="11.4" x14ac:dyDescent="0.3"/>
  <cols>
    <col min="1" max="1" width="1.6640625" style="2" customWidth="1"/>
    <col min="2" max="2" width="13.6640625" style="1" customWidth="1"/>
    <col min="3" max="3" width="59.44140625" style="1" customWidth="1"/>
    <col min="4" max="4" width="12.109375" style="1" customWidth="1"/>
    <col min="5" max="5" width="15.44140625" style="1" bestFit="1" customWidth="1"/>
    <col min="6" max="6" width="1.6640625" style="1" customWidth="1"/>
    <col min="7" max="7" width="1.6640625" style="2" customWidth="1"/>
    <col min="8" max="8" width="18.33203125" style="2" customWidth="1"/>
    <col min="9" max="9" width="11.6640625" style="2" bestFit="1" customWidth="1"/>
    <col min="10" max="10" width="9.109375" style="2" customWidth="1"/>
    <col min="11" max="11" width="27.109375" style="2" customWidth="1"/>
    <col min="12" max="12" width="9.109375" style="2" customWidth="1"/>
    <col min="13" max="13" width="18.5546875" style="2" customWidth="1"/>
    <col min="14" max="14" width="13.109375" style="2" customWidth="1"/>
    <col min="15" max="19" width="9.109375" style="2" customWidth="1"/>
    <col min="20" max="16384" width="9.109375" style="2"/>
  </cols>
  <sheetData>
    <row r="1" spans="2:16" ht="14.25" customHeight="1" thickBot="1" x14ac:dyDescent="0.35"/>
    <row r="2" spans="2:16" s="1" customFormat="1" ht="22.5" customHeight="1" thickBot="1" x14ac:dyDescent="0.35">
      <c r="B2" s="239" t="s">
        <v>73</v>
      </c>
      <c r="C2" s="240"/>
      <c r="D2" s="240"/>
      <c r="E2" s="241"/>
      <c r="G2" s="3"/>
      <c r="J2" s="3"/>
    </row>
    <row r="3" spans="2:16" ht="14.25" customHeight="1" thickBot="1" x14ac:dyDescent="0.35">
      <c r="J3" s="3"/>
    </row>
    <row r="4" spans="2:16" ht="14.25" customHeight="1" x14ac:dyDescent="0.3">
      <c r="B4" s="218" t="s">
        <v>2</v>
      </c>
      <c r="C4" s="219"/>
      <c r="D4" s="219"/>
      <c r="E4" s="220"/>
      <c r="J4" s="3"/>
    </row>
    <row r="5" spans="2:16" ht="14.25" customHeight="1" x14ac:dyDescent="0.3">
      <c r="B5" s="242" t="s">
        <v>3</v>
      </c>
      <c r="C5" s="243"/>
      <c r="D5" s="244"/>
      <c r="E5" s="4"/>
      <c r="J5" s="3"/>
    </row>
    <row r="6" spans="2:16" ht="14.25" customHeight="1" x14ac:dyDescent="0.3">
      <c r="B6" s="201" t="s">
        <v>4</v>
      </c>
      <c r="C6" s="202"/>
      <c r="D6" s="203"/>
      <c r="E6" s="5" t="s">
        <v>5</v>
      </c>
      <c r="J6" s="3"/>
    </row>
    <row r="7" spans="2:16" ht="14.25" customHeight="1" x14ac:dyDescent="0.3">
      <c r="B7" s="201" t="s">
        <v>6</v>
      </c>
      <c r="C7" s="202"/>
      <c r="D7" s="203"/>
      <c r="E7" s="5" t="s">
        <v>148</v>
      </c>
      <c r="J7" s="3"/>
    </row>
    <row r="8" spans="2:16" ht="14.25" customHeight="1" thickBot="1" x14ac:dyDescent="0.35">
      <c r="B8" s="236" t="s">
        <v>7</v>
      </c>
      <c r="C8" s="237"/>
      <c r="D8" s="238"/>
      <c r="E8" s="6">
        <v>12</v>
      </c>
      <c r="J8" s="3"/>
    </row>
    <row r="9" spans="2:16" ht="14.25" customHeight="1" thickBot="1" x14ac:dyDescent="0.35">
      <c r="J9" s="3"/>
    </row>
    <row r="10" spans="2:16" ht="14.25" customHeight="1" thickBot="1" x14ac:dyDescent="0.35">
      <c r="B10" s="218" t="s">
        <v>8</v>
      </c>
      <c r="C10" s="219"/>
      <c r="D10" s="219"/>
      <c r="E10" s="220"/>
      <c r="J10" s="3"/>
    </row>
    <row r="11" spans="2:16" s="10" customFormat="1" ht="33" customHeight="1" x14ac:dyDescent="0.3">
      <c r="B11" s="221" t="s">
        <v>9</v>
      </c>
      <c r="C11" s="222"/>
      <c r="D11" s="7" t="s">
        <v>10</v>
      </c>
      <c r="E11" s="8" t="s">
        <v>11</v>
      </c>
      <c r="F11" s="9"/>
      <c r="I11" s="11"/>
      <c r="J11" s="11"/>
      <c r="K11" s="11"/>
      <c r="L11" s="11"/>
      <c r="M11" s="11">
        <f>'1'!E91</f>
        <v>23924.14823739705</v>
      </c>
      <c r="N11" s="11"/>
      <c r="O11" s="11"/>
      <c r="P11" s="11"/>
    </row>
    <row r="12" spans="2:16" s="10" customFormat="1" ht="12" x14ac:dyDescent="0.3">
      <c r="B12" s="234" t="s">
        <v>91</v>
      </c>
      <c r="C12" s="235"/>
      <c r="D12" s="235"/>
      <c r="E12" s="61" t="s">
        <v>106</v>
      </c>
      <c r="F12" s="9"/>
      <c r="I12" s="11"/>
      <c r="J12" s="11"/>
      <c r="K12" s="11"/>
      <c r="L12" s="11"/>
      <c r="M12" s="11"/>
      <c r="N12" s="11"/>
      <c r="O12" s="11"/>
      <c r="P12" s="11"/>
    </row>
    <row r="13" spans="2:16" ht="14.25" customHeight="1" thickBot="1" x14ac:dyDescent="0.35">
      <c r="B13" s="223" t="s">
        <v>226</v>
      </c>
      <c r="C13" s="224"/>
      <c r="D13" s="12" t="s">
        <v>12</v>
      </c>
      <c r="E13" s="13">
        <v>4</v>
      </c>
      <c r="F13" s="14"/>
      <c r="H13" s="15"/>
      <c r="I13" s="11"/>
      <c r="J13" s="11"/>
      <c r="K13" s="11"/>
      <c r="L13" s="11"/>
      <c r="M13" s="11"/>
      <c r="N13" s="11"/>
      <c r="O13" s="11"/>
      <c r="P13" s="11"/>
    </row>
    <row r="14" spans="2:16" ht="14.25" customHeight="1" thickBot="1" x14ac:dyDescent="0.35">
      <c r="H14" s="11"/>
      <c r="I14" s="11"/>
      <c r="J14" s="11"/>
      <c r="K14" s="11"/>
      <c r="L14" s="11"/>
      <c r="M14" s="11"/>
      <c r="N14" s="11"/>
      <c r="O14" s="11"/>
      <c r="P14" s="11"/>
    </row>
    <row r="15" spans="2:16" ht="14.25" customHeight="1" x14ac:dyDescent="0.3">
      <c r="B15" s="218" t="s">
        <v>13</v>
      </c>
      <c r="C15" s="219"/>
      <c r="D15" s="219"/>
      <c r="E15" s="220"/>
      <c r="H15" s="11"/>
      <c r="I15" s="11"/>
      <c r="J15" s="11"/>
      <c r="K15" s="11"/>
      <c r="L15" s="11"/>
      <c r="M15" s="11"/>
      <c r="N15" s="11"/>
      <c r="O15" s="11"/>
      <c r="P15" s="11"/>
    </row>
    <row r="16" spans="2:16" ht="14.25" customHeight="1" x14ac:dyDescent="0.3">
      <c r="B16" s="16">
        <v>1</v>
      </c>
      <c r="C16" s="225" t="s">
        <v>14</v>
      </c>
      <c r="D16" s="226"/>
      <c r="E16" s="17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14.25" customHeight="1" x14ac:dyDescent="0.3">
      <c r="B17" s="18">
        <v>2</v>
      </c>
      <c r="C17" s="227" t="s">
        <v>15</v>
      </c>
      <c r="D17" s="228"/>
      <c r="E17" s="17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14.25" customHeight="1" x14ac:dyDescent="0.3">
      <c r="B18" s="18">
        <v>3</v>
      </c>
      <c r="C18" s="227" t="s">
        <v>16</v>
      </c>
      <c r="D18" s="228"/>
      <c r="E18" s="17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14.25" customHeight="1" thickBot="1" x14ac:dyDescent="0.35">
      <c r="B19" s="19">
        <v>4</v>
      </c>
      <c r="C19" s="229" t="s">
        <v>17</v>
      </c>
      <c r="D19" s="230"/>
      <c r="E19" s="55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4.25" customHeight="1" thickBot="1" x14ac:dyDescent="0.35"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4.25" customHeight="1" x14ac:dyDescent="0.3">
      <c r="B21" s="231" t="s">
        <v>18</v>
      </c>
      <c r="C21" s="232"/>
      <c r="D21" s="232"/>
      <c r="E21" s="233"/>
      <c r="F21" s="20"/>
      <c r="H21" s="11"/>
      <c r="I21" s="11"/>
      <c r="J21" s="11"/>
      <c r="K21" s="11"/>
      <c r="L21" s="11"/>
      <c r="M21" s="11">
        <f>'11'!E91</f>
        <v>16655.190792319532</v>
      </c>
      <c r="N21" s="11"/>
      <c r="O21" s="11"/>
      <c r="P21" s="11"/>
    </row>
    <row r="22" spans="1:16" ht="14.25" customHeight="1" x14ac:dyDescent="0.3">
      <c r="B22" s="21" t="s">
        <v>19</v>
      </c>
      <c r="C22" s="22"/>
      <c r="D22" s="23"/>
      <c r="E22" s="17">
        <v>16078.2</v>
      </c>
      <c r="F22" s="24"/>
      <c r="H22" s="34"/>
      <c r="I22" s="34"/>
      <c r="J22" s="11"/>
      <c r="K22" s="11"/>
      <c r="L22" s="11"/>
      <c r="M22" s="11"/>
      <c r="N22" s="11"/>
      <c r="O22" s="11"/>
      <c r="P22" s="11"/>
    </row>
    <row r="23" spans="1:16" ht="14.25" customHeight="1" x14ac:dyDescent="0.3">
      <c r="B23" s="25" t="s">
        <v>74</v>
      </c>
      <c r="C23" s="26"/>
      <c r="D23" s="27"/>
      <c r="E23" s="17"/>
      <c r="F23" s="24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14.25" customHeight="1" x14ac:dyDescent="0.3">
      <c r="B24" s="25" t="s">
        <v>20</v>
      </c>
      <c r="C24" s="26"/>
      <c r="D24" s="27"/>
      <c r="E24" s="17"/>
      <c r="F24" s="24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14.25" customHeight="1" thickBot="1" x14ac:dyDescent="0.35">
      <c r="B25" s="191" t="s">
        <v>21</v>
      </c>
      <c r="C25" s="192"/>
      <c r="D25" s="193"/>
      <c r="E25" s="28">
        <v>16078.2</v>
      </c>
      <c r="F25" s="29"/>
      <c r="H25" s="11"/>
      <c r="I25" s="11"/>
      <c r="J25" s="11"/>
      <c r="K25" s="11"/>
      <c r="L25" s="11"/>
      <c r="M25" s="11"/>
      <c r="N25" s="11"/>
      <c r="O25" s="11"/>
      <c r="P25" s="11"/>
    </row>
    <row r="26" spans="1:16" ht="14.25" customHeight="1" thickBot="1" x14ac:dyDescent="0.35"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14.25" customHeight="1" thickBot="1" x14ac:dyDescent="0.35">
      <c r="B27" s="194" t="s">
        <v>22</v>
      </c>
      <c r="C27" s="195"/>
      <c r="D27" s="195"/>
      <c r="E27" s="196"/>
      <c r="F27" s="20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14.25" customHeight="1" x14ac:dyDescent="0.3">
      <c r="B28" s="212" t="s">
        <v>23</v>
      </c>
      <c r="C28" s="213"/>
      <c r="D28" s="213"/>
      <c r="E28" s="214"/>
      <c r="H28" s="11"/>
      <c r="I28" s="11"/>
      <c r="J28" s="11"/>
      <c r="K28" s="11"/>
      <c r="L28" s="11"/>
      <c r="M28" s="11"/>
      <c r="N28" s="11"/>
      <c r="O28" s="11"/>
      <c r="P28" s="11"/>
    </row>
    <row r="29" spans="1:16" ht="14.25" customHeight="1" x14ac:dyDescent="0.3">
      <c r="A29" s="2" t="s">
        <v>24</v>
      </c>
      <c r="B29" s="21" t="s">
        <v>25</v>
      </c>
      <c r="C29" s="22"/>
      <c r="D29" s="30">
        <v>8.3299999999999999E-2</v>
      </c>
      <c r="E29" s="57">
        <f>D29*E22</f>
        <v>1339.3140600000002</v>
      </c>
      <c r="F29" s="32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14.25" customHeight="1" x14ac:dyDescent="0.3">
      <c r="A30" s="2" t="s">
        <v>26</v>
      </c>
      <c r="B30" s="21" t="s">
        <v>27</v>
      </c>
      <c r="C30" s="22"/>
      <c r="D30" s="30">
        <v>0.121</v>
      </c>
      <c r="E30" s="57">
        <f>D30*E25</f>
        <v>1945.4621999999999</v>
      </c>
      <c r="F30" s="32"/>
      <c r="H30" s="11"/>
      <c r="I30" s="34"/>
      <c r="J30" s="11"/>
      <c r="K30" s="11"/>
      <c r="L30" s="11"/>
      <c r="M30" s="11"/>
      <c r="N30" s="11"/>
      <c r="O30" s="11"/>
      <c r="P30" s="11"/>
    </row>
    <row r="31" spans="1:16" ht="14.25" customHeight="1" thickBot="1" x14ac:dyDescent="0.35">
      <c r="B31" s="93" t="s">
        <v>163</v>
      </c>
      <c r="C31" s="94"/>
      <c r="D31" s="163">
        <f>D29+D30</f>
        <v>0.20429999999999998</v>
      </c>
      <c r="E31" s="33">
        <f>SUM(E29:E30)</f>
        <v>3284.7762600000001</v>
      </c>
      <c r="F31" s="29"/>
      <c r="H31" s="11"/>
      <c r="I31" s="11"/>
      <c r="J31" s="11"/>
      <c r="K31" s="11"/>
      <c r="L31" s="11"/>
      <c r="M31" s="11"/>
      <c r="N31" s="11"/>
      <c r="O31" s="11"/>
      <c r="P31" s="11"/>
    </row>
    <row r="32" spans="1:16" ht="14.25" customHeight="1" x14ac:dyDescent="0.3">
      <c r="B32" s="21" t="s">
        <v>250</v>
      </c>
      <c r="C32" s="22"/>
      <c r="D32" s="95">
        <f>D43*D31</f>
        <v>4.0451890319999996E-2</v>
      </c>
      <c r="E32" s="57">
        <f>D32*E25</f>
        <v>650.39358294302394</v>
      </c>
      <c r="F32" s="29"/>
      <c r="H32" s="11"/>
      <c r="I32" s="11"/>
      <c r="J32" s="11"/>
      <c r="K32" s="11"/>
      <c r="L32" s="11"/>
      <c r="M32" s="11"/>
      <c r="N32" s="11"/>
      <c r="O32" s="11"/>
      <c r="P32" s="11"/>
    </row>
    <row r="33" spans="1:16" ht="14.25" customHeight="1" thickBot="1" x14ac:dyDescent="0.35">
      <c r="B33" s="93" t="s">
        <v>28</v>
      </c>
      <c r="C33" s="94"/>
      <c r="D33" s="97">
        <f>SUM(D31+D32)</f>
        <v>0.24475189031999997</v>
      </c>
      <c r="E33" s="33">
        <f>SUM(E31:E32)</f>
        <v>3935.1698429430239</v>
      </c>
      <c r="F33" s="29"/>
      <c r="H33" s="34"/>
      <c r="I33" s="11"/>
      <c r="J33" s="11"/>
      <c r="K33" s="11"/>
      <c r="L33" s="11"/>
      <c r="M33" s="11"/>
      <c r="N33" s="11"/>
      <c r="O33" s="11"/>
      <c r="P33" s="11"/>
    </row>
    <row r="34" spans="1:16" ht="14.25" customHeight="1" x14ac:dyDescent="0.3">
      <c r="B34" s="212" t="s">
        <v>29</v>
      </c>
      <c r="C34" s="213"/>
      <c r="D34" s="213"/>
      <c r="E34" s="214"/>
      <c r="H34" s="11"/>
      <c r="I34" s="11"/>
      <c r="J34" s="11"/>
      <c r="K34" s="11"/>
      <c r="L34" s="11"/>
      <c r="M34" s="11"/>
      <c r="N34" s="11"/>
      <c r="O34" s="11"/>
      <c r="P34" s="11"/>
    </row>
    <row r="35" spans="1:16" ht="14.25" customHeight="1" x14ac:dyDescent="0.3">
      <c r="A35" s="2" t="s">
        <v>24</v>
      </c>
      <c r="B35" s="21" t="s">
        <v>30</v>
      </c>
      <c r="C35" s="22"/>
      <c r="D35" s="30">
        <v>0.05</v>
      </c>
      <c r="E35" s="57">
        <f>D35*E$25</f>
        <v>803.91000000000008</v>
      </c>
      <c r="F35" s="32"/>
      <c r="H35" s="11"/>
      <c r="I35" s="11"/>
      <c r="J35" s="11"/>
      <c r="K35" s="11"/>
      <c r="L35" s="11"/>
      <c r="M35" s="11"/>
      <c r="N35" s="11"/>
      <c r="O35" s="11"/>
      <c r="P35" s="11"/>
    </row>
    <row r="36" spans="1:16" ht="14.25" customHeight="1" x14ac:dyDescent="0.3">
      <c r="A36" s="2" t="s">
        <v>26</v>
      </c>
      <c r="B36" s="21" t="s">
        <v>31</v>
      </c>
      <c r="C36" s="22"/>
      <c r="D36" s="30">
        <v>2.5002400000000001E-2</v>
      </c>
      <c r="E36" s="57">
        <f>ROUND(D36*E$25,2)</f>
        <v>401.99</v>
      </c>
      <c r="F36" s="32"/>
      <c r="H36" s="34"/>
      <c r="I36" s="11"/>
      <c r="J36" s="11"/>
      <c r="K36" s="11"/>
      <c r="L36" s="11"/>
      <c r="M36" s="11"/>
      <c r="N36" s="11"/>
      <c r="O36" s="11"/>
      <c r="P36" s="11"/>
    </row>
    <row r="37" spans="1:16" ht="14.25" customHeight="1" x14ac:dyDescent="0.3">
      <c r="A37" s="2" t="s">
        <v>32</v>
      </c>
      <c r="B37" s="21" t="s">
        <v>33</v>
      </c>
      <c r="C37" s="22"/>
      <c r="D37" s="35">
        <v>0.01</v>
      </c>
      <c r="E37" s="57">
        <f t="shared" ref="E37:E42" si="0">D37*E$25</f>
        <v>160.78200000000001</v>
      </c>
      <c r="F37" s="32"/>
      <c r="H37" s="11"/>
      <c r="I37" s="11"/>
      <c r="J37" s="11"/>
      <c r="K37" s="11"/>
      <c r="L37" s="11"/>
      <c r="M37" s="11"/>
      <c r="N37" s="11"/>
      <c r="O37" s="11"/>
      <c r="P37" s="11"/>
    </row>
    <row r="38" spans="1:16" ht="14.25" customHeight="1" x14ac:dyDescent="0.3">
      <c r="A38" s="2" t="s">
        <v>34</v>
      </c>
      <c r="B38" s="21" t="s">
        <v>35</v>
      </c>
      <c r="C38" s="22"/>
      <c r="D38" s="30">
        <v>1.4999999999999999E-2</v>
      </c>
      <c r="E38" s="57">
        <f t="shared" si="0"/>
        <v>241.173</v>
      </c>
      <c r="F38" s="32"/>
      <c r="H38" s="11"/>
      <c r="I38" s="11"/>
      <c r="J38" s="11"/>
      <c r="K38" s="11"/>
      <c r="L38" s="11"/>
      <c r="M38" s="11"/>
      <c r="N38" s="11"/>
      <c r="O38" s="11"/>
      <c r="P38" s="11"/>
    </row>
    <row r="39" spans="1:16" ht="14.25" customHeight="1" x14ac:dyDescent="0.3">
      <c r="A39" s="2" t="s">
        <v>36</v>
      </c>
      <c r="B39" s="21" t="s">
        <v>37</v>
      </c>
      <c r="C39" s="22"/>
      <c r="D39" s="30">
        <v>0.01</v>
      </c>
      <c r="E39" s="57">
        <f t="shared" si="0"/>
        <v>160.78200000000001</v>
      </c>
      <c r="F39" s="32"/>
      <c r="H39" s="11"/>
      <c r="I39" s="11"/>
      <c r="J39" s="11"/>
      <c r="K39" s="11"/>
      <c r="L39" s="11"/>
      <c r="M39" s="11"/>
      <c r="N39" s="11"/>
      <c r="O39" s="11"/>
      <c r="P39" s="11"/>
    </row>
    <row r="40" spans="1:16" ht="14.25" customHeight="1" x14ac:dyDescent="0.3">
      <c r="A40" s="2" t="s">
        <v>38</v>
      </c>
      <c r="B40" s="21" t="s">
        <v>39</v>
      </c>
      <c r="C40" s="22"/>
      <c r="D40" s="30">
        <v>6.0000000000000001E-3</v>
      </c>
      <c r="E40" s="57">
        <f t="shared" si="0"/>
        <v>96.469200000000001</v>
      </c>
      <c r="F40" s="32"/>
      <c r="H40" s="11"/>
      <c r="I40" s="11"/>
      <c r="J40" s="11"/>
      <c r="K40" s="11"/>
      <c r="L40" s="11"/>
      <c r="M40" s="11"/>
      <c r="N40" s="11"/>
      <c r="O40" s="11"/>
      <c r="P40" s="11"/>
    </row>
    <row r="41" spans="1:16" ht="14.25" customHeight="1" x14ac:dyDescent="0.3">
      <c r="A41" s="2" t="s">
        <v>40</v>
      </c>
      <c r="B41" s="21" t="s">
        <v>41</v>
      </c>
      <c r="C41" s="22"/>
      <c r="D41" s="36">
        <v>2E-3</v>
      </c>
      <c r="E41" s="57">
        <f t="shared" si="0"/>
        <v>32.156400000000005</v>
      </c>
      <c r="F41" s="32"/>
      <c r="H41" s="11"/>
      <c r="I41" s="11"/>
      <c r="J41" s="11"/>
      <c r="K41" s="11"/>
      <c r="L41" s="11"/>
      <c r="M41" s="11"/>
      <c r="N41" s="11"/>
      <c r="O41" s="11"/>
      <c r="P41" s="11"/>
    </row>
    <row r="42" spans="1:16" ht="14.25" customHeight="1" x14ac:dyDescent="0.3">
      <c r="A42" s="2" t="s">
        <v>42</v>
      </c>
      <c r="B42" s="21" t="s">
        <v>43</v>
      </c>
      <c r="C42" s="22"/>
      <c r="D42" s="30">
        <v>0.08</v>
      </c>
      <c r="E42" s="57">
        <f t="shared" si="0"/>
        <v>1286.2560000000001</v>
      </c>
      <c r="F42" s="32"/>
      <c r="H42" s="245"/>
      <c r="I42" s="246">
        <v>22</v>
      </c>
      <c r="J42" s="11"/>
      <c r="K42" s="11"/>
      <c r="L42" s="11"/>
      <c r="M42" s="11"/>
      <c r="N42" s="11"/>
      <c r="O42" s="11"/>
      <c r="P42" s="11"/>
    </row>
    <row r="43" spans="1:16" ht="14.25" customHeight="1" thickBot="1" x14ac:dyDescent="0.35">
      <c r="B43" s="215" t="s">
        <v>44</v>
      </c>
      <c r="C43" s="216"/>
      <c r="D43" s="37">
        <f>SUM(D35:D42)</f>
        <v>0.1980024</v>
      </c>
      <c r="E43" s="33">
        <f>SUM(E35:E42)</f>
        <v>3183.5186000000003</v>
      </c>
      <c r="F43" s="29"/>
      <c r="H43" s="245"/>
      <c r="I43" s="246"/>
      <c r="J43" s="34">
        <f>E43-H43</f>
        <v>3183.5186000000003</v>
      </c>
      <c r="K43" s="11"/>
      <c r="L43" s="11"/>
      <c r="M43" s="11"/>
      <c r="N43" s="11"/>
      <c r="O43" s="11"/>
      <c r="P43" s="11"/>
    </row>
    <row r="44" spans="1:16" ht="14.25" customHeight="1" x14ac:dyDescent="0.3">
      <c r="B44" s="212" t="s">
        <v>45</v>
      </c>
      <c r="C44" s="213"/>
      <c r="D44" s="213"/>
      <c r="E44" s="214"/>
      <c r="H44" s="245"/>
      <c r="I44" s="246"/>
      <c r="J44" s="11"/>
      <c r="K44" s="11"/>
      <c r="L44" s="11"/>
      <c r="M44" s="11"/>
      <c r="N44" s="11"/>
      <c r="O44" s="11"/>
      <c r="P44" s="11"/>
    </row>
    <row r="45" spans="1:16" ht="14.25" customHeight="1" x14ac:dyDescent="0.3">
      <c r="A45" s="2" t="s">
        <v>24</v>
      </c>
      <c r="B45" s="201" t="s">
        <v>46</v>
      </c>
      <c r="C45" s="202"/>
      <c r="D45" s="203"/>
      <c r="E45" s="57">
        <v>0</v>
      </c>
      <c r="F45" s="32"/>
      <c r="H45" s="38"/>
      <c r="I45" s="39">
        <v>5.5</v>
      </c>
      <c r="J45" s="11"/>
      <c r="K45" s="11"/>
      <c r="L45" s="11"/>
      <c r="M45" s="11"/>
      <c r="N45" s="11"/>
      <c r="O45" s="11"/>
      <c r="P45" s="11"/>
    </row>
    <row r="46" spans="1:16" ht="14.25" customHeight="1" x14ac:dyDescent="0.3">
      <c r="A46" s="2" t="s">
        <v>26</v>
      </c>
      <c r="B46" s="201" t="s">
        <v>47</v>
      </c>
      <c r="C46" s="202"/>
      <c r="D46" s="203"/>
      <c r="E46" s="57">
        <v>589.77599999999995</v>
      </c>
      <c r="F46" s="32"/>
      <c r="H46" s="38"/>
      <c r="I46" s="41"/>
      <c r="J46" s="11"/>
      <c r="K46" s="11"/>
      <c r="L46" s="70"/>
      <c r="M46" s="11"/>
      <c r="N46" s="11"/>
      <c r="O46" s="11"/>
      <c r="P46" s="11"/>
    </row>
    <row r="47" spans="1:16" ht="14.25" customHeight="1" x14ac:dyDescent="0.3">
      <c r="A47" s="2" t="s">
        <v>32</v>
      </c>
      <c r="B47" s="21" t="s">
        <v>48</v>
      </c>
      <c r="C47" s="22"/>
      <c r="D47" s="40"/>
      <c r="E47" s="57">
        <v>165</v>
      </c>
      <c r="F47" s="32"/>
      <c r="H47" s="38"/>
      <c r="I47" s="41"/>
      <c r="J47" s="11"/>
      <c r="K47" s="11"/>
      <c r="L47" s="11"/>
      <c r="M47" s="11"/>
      <c r="N47" s="11"/>
      <c r="O47" s="11"/>
      <c r="P47" s="11"/>
    </row>
    <row r="48" spans="1:16" ht="14.25" customHeight="1" x14ac:dyDescent="0.3">
      <c r="A48" s="2" t="s">
        <v>34</v>
      </c>
      <c r="B48" s="201" t="s">
        <v>20</v>
      </c>
      <c r="C48" s="202"/>
      <c r="D48" s="203"/>
      <c r="E48" s="31"/>
      <c r="F48" s="32"/>
      <c r="H48" s="38"/>
      <c r="I48" s="58"/>
      <c r="J48" s="11"/>
      <c r="K48" s="11"/>
      <c r="L48" s="11"/>
      <c r="M48" s="11"/>
      <c r="N48" s="11"/>
      <c r="O48" s="11"/>
      <c r="P48" s="11"/>
    </row>
    <row r="49" spans="1:17" ht="14.25" customHeight="1" thickBot="1" x14ac:dyDescent="0.35">
      <c r="B49" s="215" t="s">
        <v>49</v>
      </c>
      <c r="C49" s="217"/>
      <c r="D49" s="216">
        <v>0</v>
      </c>
      <c r="E49" s="33">
        <f>SUM(E45:E47)</f>
        <v>754.77599999999995</v>
      </c>
      <c r="F49" s="29"/>
      <c r="H49" s="38"/>
      <c r="I49" s="41"/>
      <c r="J49" s="11"/>
      <c r="K49" s="11"/>
      <c r="L49" s="11"/>
      <c r="M49" s="11"/>
      <c r="N49" s="11"/>
      <c r="O49" s="11"/>
      <c r="P49" s="11"/>
    </row>
    <row r="50" spans="1:17" ht="14.25" customHeight="1" thickBot="1" x14ac:dyDescent="0.35">
      <c r="B50" s="191" t="s">
        <v>50</v>
      </c>
      <c r="C50" s="192"/>
      <c r="D50" s="193"/>
      <c r="E50" s="28">
        <f>E43+E33+E49</f>
        <v>7873.4644429430246</v>
      </c>
      <c r="F50" s="29"/>
      <c r="H50" s="38"/>
      <c r="I50" s="41"/>
      <c r="J50" s="11"/>
      <c r="K50" s="11"/>
      <c r="L50" s="11"/>
      <c r="M50" s="11"/>
      <c r="N50" s="11"/>
      <c r="O50" s="11"/>
      <c r="P50" s="11"/>
    </row>
    <row r="51" spans="1:17" ht="14.25" customHeight="1" thickBot="1" x14ac:dyDescent="0.35">
      <c r="H51" s="38"/>
      <c r="I51" s="41"/>
      <c r="J51" s="11"/>
      <c r="K51" s="11"/>
      <c r="L51" s="11"/>
      <c r="M51" s="11"/>
      <c r="N51" s="11"/>
      <c r="O51" s="11"/>
      <c r="P51" s="11"/>
    </row>
    <row r="52" spans="1:17" ht="14.25" customHeight="1" thickBot="1" x14ac:dyDescent="0.35">
      <c r="B52" s="194" t="s">
        <v>51</v>
      </c>
      <c r="C52" s="195"/>
      <c r="D52" s="195"/>
      <c r="E52" s="196"/>
      <c r="F52" s="20"/>
      <c r="H52" s="38"/>
      <c r="I52" s="41"/>
      <c r="J52" s="11"/>
      <c r="K52" s="11"/>
      <c r="L52" s="11"/>
      <c r="M52" s="11"/>
      <c r="N52" s="11"/>
      <c r="O52" s="11"/>
      <c r="P52" s="11"/>
    </row>
    <row r="53" spans="1:17" ht="14.25" customHeight="1" x14ac:dyDescent="0.3">
      <c r="A53" s="2" t="s">
        <v>24</v>
      </c>
      <c r="B53" s="21" t="s">
        <v>52</v>
      </c>
      <c r="C53" s="21"/>
      <c r="D53" s="30">
        <v>4.2119999999999996E-3</v>
      </c>
      <c r="E53" s="57">
        <f t="shared" ref="E53:E58" si="1">D53*E$25</f>
        <v>67.721378399999992</v>
      </c>
      <c r="F53" s="32"/>
      <c r="H53" s="245" t="s">
        <v>53</v>
      </c>
      <c r="I53" s="247">
        <v>5.5500000000000001E-2</v>
      </c>
      <c r="J53" s="11"/>
      <c r="K53" s="11"/>
      <c r="L53" s="11"/>
      <c r="M53" s="11"/>
      <c r="N53" s="11"/>
      <c r="O53" s="11"/>
      <c r="P53" s="11"/>
    </row>
    <row r="54" spans="1:17" ht="14.25" customHeight="1" x14ac:dyDescent="0.3">
      <c r="A54" s="2" t="s">
        <v>26</v>
      </c>
      <c r="B54" s="21" t="s">
        <v>54</v>
      </c>
      <c r="C54" s="21"/>
      <c r="D54" s="30">
        <v>3.3695999999999997E-4</v>
      </c>
      <c r="E54" s="57">
        <f t="shared" si="1"/>
        <v>5.4177102719999999</v>
      </c>
      <c r="F54" s="32"/>
      <c r="H54" s="245"/>
      <c r="I54" s="247"/>
      <c r="J54" s="11"/>
      <c r="K54" s="11"/>
      <c r="L54" s="11"/>
      <c r="M54" s="11"/>
      <c r="N54" s="11"/>
      <c r="O54" s="11"/>
      <c r="P54" s="11"/>
    </row>
    <row r="55" spans="1:17" ht="14.25" customHeight="1" x14ac:dyDescent="0.3">
      <c r="A55" s="2" t="s">
        <v>32</v>
      </c>
      <c r="B55" s="21" t="s">
        <v>55</v>
      </c>
      <c r="C55" s="21"/>
      <c r="D55" s="30">
        <v>0.02</v>
      </c>
      <c r="E55" s="57">
        <f t="shared" si="1"/>
        <v>321.56400000000002</v>
      </c>
      <c r="F55" s="32"/>
      <c r="H55" s="245" t="s">
        <v>56</v>
      </c>
      <c r="I55" s="246">
        <v>0.9</v>
      </c>
      <c r="J55" s="11"/>
      <c r="K55" s="11"/>
      <c r="L55" s="11"/>
      <c r="M55" s="105"/>
      <c r="N55" s="11"/>
      <c r="O55" s="11"/>
      <c r="P55" s="11"/>
      <c r="Q55" s="104"/>
    </row>
    <row r="56" spans="1:17" ht="14.25" customHeight="1" x14ac:dyDescent="0.3">
      <c r="A56" s="2" t="s">
        <v>34</v>
      </c>
      <c r="B56" s="21" t="s">
        <v>57</v>
      </c>
      <c r="C56" s="21"/>
      <c r="D56" s="30">
        <v>1.9444444444444445E-2</v>
      </c>
      <c r="E56" s="57">
        <f t="shared" si="1"/>
        <v>312.63166666666666</v>
      </c>
      <c r="F56" s="32"/>
      <c r="H56" s="245"/>
      <c r="I56" s="246"/>
      <c r="J56" s="11"/>
      <c r="K56" s="11"/>
      <c r="L56" s="11"/>
      <c r="M56" s="11"/>
      <c r="N56" s="11"/>
      <c r="O56" s="11"/>
      <c r="P56" s="11"/>
    </row>
    <row r="57" spans="1:17" ht="14.25" customHeight="1" x14ac:dyDescent="0.3">
      <c r="A57" s="2" t="s">
        <v>36</v>
      </c>
      <c r="B57" s="21" t="s">
        <v>58</v>
      </c>
      <c r="C57" s="22"/>
      <c r="D57" s="30">
        <v>2.8778244444444445E-3</v>
      </c>
      <c r="E57" s="57">
        <f t="shared" si="1"/>
        <v>46.270236982666667</v>
      </c>
      <c r="F57" s="32"/>
      <c r="H57" s="245"/>
      <c r="I57" s="246"/>
      <c r="J57" s="11"/>
      <c r="K57" s="11"/>
      <c r="L57" s="11"/>
      <c r="M57" s="11"/>
      <c r="N57" s="11"/>
      <c r="O57" s="11"/>
      <c r="P57" s="11"/>
    </row>
    <row r="58" spans="1:17" ht="14.25" customHeight="1" x14ac:dyDescent="0.3">
      <c r="A58" s="2" t="s">
        <v>38</v>
      </c>
      <c r="B58" s="21" t="s">
        <v>59</v>
      </c>
      <c r="C58" s="21"/>
      <c r="D58" s="30">
        <v>0.02</v>
      </c>
      <c r="E58" s="57">
        <f t="shared" si="1"/>
        <v>321.56400000000002</v>
      </c>
      <c r="F58" s="32"/>
      <c r="H58" s="38"/>
      <c r="I58" s="38"/>
      <c r="J58" s="11"/>
      <c r="K58" s="11"/>
      <c r="L58" s="11"/>
      <c r="M58" s="11"/>
      <c r="N58" s="11"/>
      <c r="O58" s="11"/>
      <c r="P58" s="11"/>
    </row>
    <row r="59" spans="1:17" ht="14.25" customHeight="1" thickBot="1" x14ac:dyDescent="0.35">
      <c r="B59" s="191" t="s">
        <v>60</v>
      </c>
      <c r="C59" s="192"/>
      <c r="D59" s="193"/>
      <c r="E59" s="28">
        <f>SUM(E53:E58)</f>
        <v>1075.1689923213335</v>
      </c>
      <c r="F59" s="29"/>
      <c r="H59" s="38"/>
      <c r="I59" s="38"/>
      <c r="J59" s="11"/>
      <c r="K59" s="11"/>
      <c r="L59" s="11"/>
      <c r="M59" s="11"/>
      <c r="N59" s="11"/>
      <c r="O59" s="11"/>
      <c r="P59" s="11"/>
    </row>
    <row r="60" spans="1:17" ht="14.25" customHeight="1" thickBot="1" x14ac:dyDescent="0.35">
      <c r="H60" s="38"/>
      <c r="I60" s="38"/>
      <c r="J60" s="11"/>
      <c r="K60" s="11"/>
      <c r="L60" s="11"/>
      <c r="M60" s="11"/>
      <c r="N60" s="11"/>
      <c r="O60" s="11"/>
      <c r="P60" s="11"/>
    </row>
    <row r="61" spans="1:17" ht="14.25" customHeight="1" x14ac:dyDescent="0.3">
      <c r="B61" s="204" t="s">
        <v>75</v>
      </c>
      <c r="C61" s="205"/>
      <c r="D61" s="205"/>
      <c r="E61" s="206"/>
      <c r="F61" s="20"/>
      <c r="H61" s="38"/>
      <c r="I61" s="38"/>
      <c r="J61" s="11"/>
      <c r="K61" s="11"/>
      <c r="L61" s="11"/>
      <c r="M61" s="11"/>
      <c r="N61" s="11"/>
      <c r="O61" s="11"/>
      <c r="P61" s="11"/>
    </row>
    <row r="62" spans="1:17" ht="14.25" customHeight="1" x14ac:dyDescent="0.3">
      <c r="B62" s="207"/>
      <c r="C62" s="208"/>
      <c r="D62" s="208"/>
      <c r="E62" s="209"/>
      <c r="H62" s="11"/>
      <c r="I62" s="11"/>
      <c r="J62" s="11"/>
      <c r="K62" s="11"/>
      <c r="L62" s="11"/>
      <c r="M62" s="11"/>
      <c r="N62" s="11"/>
      <c r="O62" s="11"/>
      <c r="P62" s="11"/>
    </row>
    <row r="63" spans="1:17" ht="14.25" customHeight="1" x14ac:dyDescent="0.3">
      <c r="A63" s="2" t="s">
        <v>24</v>
      </c>
      <c r="B63" s="201" t="s">
        <v>76</v>
      </c>
      <c r="C63" s="203"/>
      <c r="D63" s="30">
        <v>9.2999999999999992E-3</v>
      </c>
      <c r="E63" s="57">
        <f t="shared" ref="E63:E68" si="2">D63*E$25</f>
        <v>149.52725999999998</v>
      </c>
      <c r="F63" s="32"/>
      <c r="H63" s="38"/>
      <c r="I63" s="38"/>
      <c r="J63" s="11"/>
      <c r="K63" s="11"/>
      <c r="L63" s="11"/>
      <c r="M63" s="11"/>
      <c r="N63" s="11"/>
      <c r="O63" s="11"/>
      <c r="P63" s="11"/>
    </row>
    <row r="64" spans="1:17" ht="14.25" customHeight="1" x14ac:dyDescent="0.3">
      <c r="A64" s="2" t="s">
        <v>26</v>
      </c>
      <c r="B64" s="101" t="s">
        <v>77</v>
      </c>
      <c r="C64" s="98"/>
      <c r="D64" s="30">
        <v>1.66E-2</v>
      </c>
      <c r="E64" s="57">
        <f t="shared" si="2"/>
        <v>266.89812000000001</v>
      </c>
      <c r="F64" s="32"/>
      <c r="H64" s="38" t="s">
        <v>78</v>
      </c>
      <c r="I64" s="39">
        <v>5.96</v>
      </c>
      <c r="J64" s="11"/>
      <c r="K64" s="11"/>
      <c r="L64" s="11"/>
      <c r="M64" s="78"/>
      <c r="N64" s="11"/>
      <c r="O64" s="11"/>
      <c r="P64" s="11"/>
    </row>
    <row r="65" spans="1:16" ht="14.25" customHeight="1" x14ac:dyDescent="0.3">
      <c r="A65" s="2" t="s">
        <v>32</v>
      </c>
      <c r="B65" s="101" t="s">
        <v>79</v>
      </c>
      <c r="C65" s="98"/>
      <c r="D65" s="30">
        <v>2.0000000000000001E-4</v>
      </c>
      <c r="E65" s="57">
        <f t="shared" si="2"/>
        <v>3.2156400000000005</v>
      </c>
      <c r="F65" s="32"/>
      <c r="H65" s="38" t="s">
        <v>80</v>
      </c>
      <c r="I65" s="42">
        <v>1.4999999999999999E-2</v>
      </c>
      <c r="J65" s="11"/>
      <c r="K65" s="11"/>
      <c r="L65" s="11"/>
      <c r="M65" s="11"/>
      <c r="N65" s="11"/>
      <c r="O65" s="11"/>
      <c r="P65" s="11"/>
    </row>
    <row r="66" spans="1:16" ht="14.25" customHeight="1" x14ac:dyDescent="0.3">
      <c r="A66" s="2" t="s">
        <v>34</v>
      </c>
      <c r="B66" s="101" t="s">
        <v>81</v>
      </c>
      <c r="C66" s="98"/>
      <c r="D66" s="30">
        <v>2.7000000000000001E-3</v>
      </c>
      <c r="E66" s="57">
        <f t="shared" si="2"/>
        <v>43.411140000000003</v>
      </c>
      <c r="F66" s="32"/>
      <c r="H66" s="38" t="s">
        <v>82</v>
      </c>
      <c r="I66" s="42">
        <v>1.8599999999999998E-2</v>
      </c>
      <c r="J66" s="11"/>
      <c r="K66" s="11"/>
      <c r="L66" s="11"/>
      <c r="M66" s="11"/>
      <c r="N66" s="78"/>
      <c r="O66" s="11"/>
      <c r="P66" s="11"/>
    </row>
    <row r="67" spans="1:16" ht="14.25" customHeight="1" x14ac:dyDescent="0.3">
      <c r="A67" s="2" t="s">
        <v>36</v>
      </c>
      <c r="B67" s="101" t="s">
        <v>83</v>
      </c>
      <c r="C67" s="98"/>
      <c r="D67" s="30">
        <v>2.8E-3</v>
      </c>
      <c r="E67" s="57">
        <f t="shared" si="2"/>
        <v>45.01896</v>
      </c>
      <c r="F67" s="32"/>
      <c r="H67" s="245" t="s">
        <v>84</v>
      </c>
      <c r="I67" s="247">
        <v>0.02</v>
      </c>
      <c r="J67" s="11"/>
      <c r="K67" s="105"/>
      <c r="L67" s="11"/>
      <c r="M67" s="11"/>
      <c r="N67" s="11"/>
      <c r="O67" s="11"/>
      <c r="P67" s="11"/>
    </row>
    <row r="68" spans="1:16" ht="14.25" customHeight="1" x14ac:dyDescent="0.3">
      <c r="A68" s="2" t="s">
        <v>38</v>
      </c>
      <c r="B68" s="101" t="s">
        <v>20</v>
      </c>
      <c r="C68" s="98"/>
      <c r="D68" s="30">
        <v>0</v>
      </c>
      <c r="E68" s="57">
        <f t="shared" si="2"/>
        <v>0</v>
      </c>
      <c r="F68" s="32"/>
      <c r="H68" s="245"/>
      <c r="I68" s="247"/>
      <c r="J68" s="11"/>
      <c r="K68" s="11"/>
      <c r="L68" s="11"/>
      <c r="M68" s="11"/>
      <c r="N68" s="11"/>
      <c r="O68" s="11"/>
      <c r="P68" s="11"/>
    </row>
    <row r="69" spans="1:16" ht="14.25" customHeight="1" x14ac:dyDescent="0.3">
      <c r="B69" s="102" t="s">
        <v>164</v>
      </c>
      <c r="C69" s="96"/>
      <c r="D69" s="100">
        <v>0.1056</v>
      </c>
      <c r="E69" s="99">
        <f>SUM(E63:E68)</f>
        <v>508.07112000000001</v>
      </c>
      <c r="F69" s="32"/>
      <c r="H69" s="92"/>
      <c r="I69" s="42"/>
      <c r="J69" s="11"/>
      <c r="K69" s="11"/>
      <c r="L69" s="11"/>
      <c r="M69" s="11"/>
      <c r="N69" s="11"/>
      <c r="O69" s="11"/>
      <c r="P69" s="11"/>
    </row>
    <row r="70" spans="1:16" ht="14.25" customHeight="1" x14ac:dyDescent="0.3">
      <c r="B70" s="201" t="s">
        <v>165</v>
      </c>
      <c r="C70" s="202"/>
      <c r="D70" s="203"/>
      <c r="E70" s="57">
        <f>D43*E69</f>
        <v>100.599301130688</v>
      </c>
      <c r="F70" s="32"/>
      <c r="H70" s="92"/>
      <c r="I70" s="42"/>
      <c r="J70" s="11"/>
      <c r="K70" s="11"/>
      <c r="L70" s="11"/>
      <c r="M70" s="11"/>
      <c r="N70" s="11"/>
      <c r="O70" s="11"/>
      <c r="P70" s="11"/>
    </row>
    <row r="71" spans="1:16" ht="14.25" customHeight="1" thickBot="1" x14ac:dyDescent="0.35">
      <c r="B71" s="210" t="s">
        <v>86</v>
      </c>
      <c r="C71" s="211"/>
      <c r="D71" s="211"/>
      <c r="E71" s="103">
        <f>SUM(E69:E70)</f>
        <v>608.67042113068806</v>
      </c>
      <c r="F71" s="29"/>
      <c r="H71" s="43"/>
      <c r="I71" s="11"/>
      <c r="J71" s="11"/>
      <c r="K71" s="11"/>
      <c r="L71" s="11"/>
      <c r="M71" s="11"/>
      <c r="N71" s="11"/>
      <c r="O71" s="11"/>
      <c r="P71" s="11"/>
    </row>
    <row r="72" spans="1:16" ht="12.75" customHeight="1" thickBot="1" x14ac:dyDescent="0.35">
      <c r="H72" s="43"/>
      <c r="I72" s="11"/>
      <c r="J72" s="11"/>
      <c r="K72" s="11"/>
      <c r="L72" s="11"/>
      <c r="M72" s="11"/>
      <c r="N72" s="11"/>
      <c r="O72" s="11"/>
      <c r="P72" s="11"/>
    </row>
    <row r="73" spans="1:16" ht="14.25" customHeight="1" thickBot="1" x14ac:dyDescent="0.35">
      <c r="B73" s="194" t="s">
        <v>61</v>
      </c>
      <c r="C73" s="195"/>
      <c r="D73" s="195"/>
      <c r="E73" s="196"/>
      <c r="F73" s="20"/>
      <c r="H73" s="34"/>
      <c r="I73" s="11"/>
      <c r="J73" s="11"/>
      <c r="K73" s="11"/>
      <c r="L73" s="11"/>
      <c r="M73" s="11"/>
      <c r="N73" s="11"/>
      <c r="O73" s="11"/>
      <c r="P73" s="11"/>
    </row>
    <row r="74" spans="1:16" ht="14.25" customHeight="1" x14ac:dyDescent="0.3">
      <c r="A74" s="2" t="s">
        <v>24</v>
      </c>
      <c r="B74" s="201" t="s">
        <v>104</v>
      </c>
      <c r="C74" s="202"/>
      <c r="D74" s="203"/>
      <c r="E74" s="57">
        <v>50</v>
      </c>
      <c r="F74" s="24"/>
      <c r="H74" s="11"/>
      <c r="I74" s="11"/>
      <c r="J74" s="11"/>
      <c r="K74" s="11"/>
      <c r="L74" s="11"/>
      <c r="M74" s="11"/>
      <c r="N74" s="11"/>
      <c r="O74" s="11"/>
      <c r="P74" s="11"/>
    </row>
    <row r="75" spans="1:16" ht="14.25" customHeight="1" x14ac:dyDescent="0.3">
      <c r="A75" s="2" t="s">
        <v>26</v>
      </c>
      <c r="B75" s="25" t="s">
        <v>96</v>
      </c>
      <c r="C75" s="26"/>
      <c r="D75" s="44"/>
      <c r="E75" s="57">
        <v>0</v>
      </c>
      <c r="F75" s="24"/>
      <c r="H75" s="11"/>
      <c r="I75" s="11"/>
      <c r="J75" s="11"/>
      <c r="K75" s="11"/>
      <c r="L75" s="11"/>
      <c r="M75" s="11"/>
      <c r="N75" s="11"/>
      <c r="O75" s="11"/>
      <c r="P75" s="11"/>
    </row>
    <row r="76" spans="1:16" ht="14.25" customHeight="1" x14ac:dyDescent="0.3">
      <c r="A76" s="2" t="s">
        <v>32</v>
      </c>
      <c r="B76" s="25" t="s">
        <v>62</v>
      </c>
      <c r="C76" s="26"/>
      <c r="D76" s="44"/>
      <c r="E76" s="57">
        <v>90</v>
      </c>
      <c r="F76" s="24"/>
      <c r="H76" s="11"/>
      <c r="I76" s="11"/>
      <c r="J76" s="11"/>
      <c r="K76" s="11"/>
      <c r="L76" s="11"/>
      <c r="M76" s="11"/>
      <c r="N76" s="11"/>
      <c r="O76" s="11"/>
      <c r="P76" s="11"/>
    </row>
    <row r="77" spans="1:16" ht="14.25" customHeight="1" x14ac:dyDescent="0.3">
      <c r="B77" s="25" t="s">
        <v>101</v>
      </c>
      <c r="C77" s="26"/>
      <c r="D77" s="44"/>
      <c r="E77" s="57">
        <v>0</v>
      </c>
      <c r="F77" s="24"/>
      <c r="H77" s="11"/>
      <c r="I77" s="11"/>
      <c r="J77" s="11"/>
      <c r="K77" s="11"/>
      <c r="L77" s="11"/>
      <c r="M77" s="11"/>
      <c r="N77" s="11"/>
      <c r="O77" s="11"/>
      <c r="P77" s="11"/>
    </row>
    <row r="78" spans="1:16" ht="14.25" customHeight="1" x14ac:dyDescent="0.3">
      <c r="B78" s="25" t="s">
        <v>97</v>
      </c>
      <c r="C78" s="26"/>
      <c r="D78" s="44"/>
      <c r="E78" s="57">
        <v>0</v>
      </c>
      <c r="F78" s="24"/>
      <c r="H78" s="11"/>
      <c r="I78" s="11"/>
      <c r="J78" s="11"/>
      <c r="K78" s="11"/>
      <c r="L78" s="11"/>
      <c r="M78" s="11"/>
      <c r="N78" s="11"/>
      <c r="O78" s="11"/>
      <c r="P78" s="11"/>
    </row>
    <row r="79" spans="1:16" ht="14.25" customHeight="1" x14ac:dyDescent="0.3">
      <c r="A79" s="2" t="s">
        <v>34</v>
      </c>
      <c r="B79" s="25" t="s">
        <v>166</v>
      </c>
      <c r="C79" s="26"/>
      <c r="D79" s="44"/>
      <c r="E79" s="57">
        <v>0</v>
      </c>
      <c r="F79" s="24"/>
      <c r="H79" s="11"/>
      <c r="I79" s="11"/>
      <c r="J79" s="11"/>
      <c r="L79" s="11"/>
      <c r="M79" s="11"/>
      <c r="N79" s="11"/>
      <c r="O79" s="11"/>
      <c r="P79" s="11"/>
    </row>
    <row r="80" spans="1:16" ht="14.25" customHeight="1" thickBot="1" x14ac:dyDescent="0.35">
      <c r="B80" s="191" t="s">
        <v>63</v>
      </c>
      <c r="C80" s="192"/>
      <c r="D80" s="193"/>
      <c r="E80" s="28">
        <f>SUM(E74:E79)</f>
        <v>140</v>
      </c>
      <c r="F80" s="29"/>
      <c r="H80" s="11"/>
      <c r="I80" s="11"/>
      <c r="J80" s="11"/>
      <c r="L80" s="11"/>
      <c r="M80" s="11"/>
      <c r="N80" s="11"/>
      <c r="O80" s="11"/>
      <c r="P80" s="11"/>
    </row>
    <row r="81" spans="1:16" ht="14.25" customHeight="1" thickBot="1" x14ac:dyDescent="0.35">
      <c r="H81" s="11"/>
      <c r="I81" s="11"/>
      <c r="J81" s="11"/>
      <c r="L81" s="11"/>
      <c r="M81" s="11"/>
      <c r="N81" s="11"/>
      <c r="O81" s="11"/>
      <c r="P81" s="11"/>
    </row>
    <row r="82" spans="1:16" ht="14.25" customHeight="1" thickBot="1" x14ac:dyDescent="0.35">
      <c r="B82" s="194" t="s">
        <v>64</v>
      </c>
      <c r="C82" s="195"/>
      <c r="D82" s="195"/>
      <c r="E82" s="196"/>
      <c r="F82" s="20"/>
      <c r="H82" s="11"/>
      <c r="I82" s="11"/>
      <c r="J82" s="11"/>
      <c r="L82" s="11"/>
      <c r="M82" s="11"/>
      <c r="N82" s="11"/>
      <c r="O82" s="11"/>
      <c r="P82" s="11"/>
    </row>
    <row r="83" spans="1:16" ht="14.25" customHeight="1" x14ac:dyDescent="0.3">
      <c r="A83" s="2" t="s">
        <v>24</v>
      </c>
      <c r="B83" s="45" t="s">
        <v>65</v>
      </c>
      <c r="C83" s="46"/>
      <c r="D83" s="35">
        <f>'1'!D83</f>
        <v>0</v>
      </c>
      <c r="E83" s="57">
        <f>D83*(E80+E71+E59+E50+E25)</f>
        <v>0</v>
      </c>
      <c r="F83" s="32"/>
      <c r="H83" s="11"/>
      <c r="I83" s="161"/>
      <c r="J83" s="11"/>
      <c r="K83" s="54"/>
      <c r="L83" s="11"/>
      <c r="M83" s="11"/>
      <c r="N83" s="11"/>
      <c r="O83" s="34"/>
      <c r="P83" s="11"/>
    </row>
    <row r="84" spans="1:16" ht="14.25" customHeight="1" x14ac:dyDescent="0.3">
      <c r="A84" s="2" t="s">
        <v>26</v>
      </c>
      <c r="B84" s="21" t="s">
        <v>66</v>
      </c>
      <c r="C84" s="22"/>
      <c r="D84" s="35">
        <f>'1'!D84</f>
        <v>-1.3677647119945452E-2</v>
      </c>
      <c r="E84" s="57">
        <f>D84*(E83+E80+E71+E59+E50+E25)</f>
        <v>-352.54824608656463</v>
      </c>
      <c r="F84" s="32"/>
      <c r="H84" s="34"/>
      <c r="I84" s="34"/>
      <c r="J84" s="11"/>
      <c r="K84" s="162"/>
      <c r="L84" s="11"/>
      <c r="M84" s="11"/>
      <c r="N84" s="11"/>
      <c r="O84" s="11"/>
      <c r="P84" s="11"/>
    </row>
    <row r="85" spans="1:16" ht="14.25" customHeight="1" x14ac:dyDescent="0.3">
      <c r="B85" s="21" t="s">
        <v>67</v>
      </c>
      <c r="C85" s="22"/>
      <c r="D85" s="30">
        <v>6.5000000000000006E-3</v>
      </c>
      <c r="E85" s="57">
        <f>D85*(E84+E83+E80+E71+E59+E50+E25)</f>
        <v>165.24921146700515</v>
      </c>
      <c r="F85" s="32"/>
      <c r="H85" s="34"/>
      <c r="I85" s="34"/>
      <c r="J85" s="11"/>
      <c r="L85" s="11"/>
      <c r="M85" s="11"/>
      <c r="N85" s="11"/>
      <c r="O85" s="34"/>
      <c r="P85" s="11"/>
    </row>
    <row r="86" spans="1:16" ht="14.25" customHeight="1" x14ac:dyDescent="0.3">
      <c r="B86" s="47" t="s">
        <v>68</v>
      </c>
      <c r="C86" s="48"/>
      <c r="D86" s="30">
        <v>0.03</v>
      </c>
      <c r="E86" s="57">
        <f>D86*(E83+E85+E84+E80+E71+E59+E50+E25)</f>
        <v>767.64614465326451</v>
      </c>
      <c r="F86" s="32"/>
      <c r="H86" s="11"/>
      <c r="I86" s="11"/>
      <c r="J86" s="11"/>
      <c r="L86" s="11"/>
      <c r="M86" s="11"/>
      <c r="N86" s="11"/>
      <c r="O86" s="34"/>
      <c r="P86" s="11"/>
    </row>
    <row r="87" spans="1:16" ht="14.25" customHeight="1" x14ac:dyDescent="0.3">
      <c r="B87" s="21" t="s">
        <v>69</v>
      </c>
      <c r="C87" s="22"/>
      <c r="D87" s="35">
        <v>0.05</v>
      </c>
      <c r="E87" s="57">
        <f>D87*(E84+E83+E86+E85+E80+E71+E59+E50+E25)</f>
        <v>1317.7925483214376</v>
      </c>
      <c r="F87" s="32"/>
      <c r="H87" s="11"/>
      <c r="I87" s="11"/>
      <c r="J87" s="11"/>
      <c r="L87" s="11"/>
      <c r="M87" s="11"/>
      <c r="N87" s="11"/>
      <c r="O87" s="34"/>
      <c r="P87" s="11"/>
    </row>
    <row r="88" spans="1:16" ht="14.25" customHeight="1" x14ac:dyDescent="0.3">
      <c r="B88" s="25" t="s">
        <v>87</v>
      </c>
      <c r="C88" s="26"/>
      <c r="D88" s="35">
        <v>3.5999999999999997E-2</v>
      </c>
      <c r="E88" s="57">
        <f>D88*(E84+E85+E87+E86+E83+E71+E59+E50+E25)</f>
        <v>991.21116653100682</v>
      </c>
      <c r="F88" s="32"/>
      <c r="H88" s="11"/>
      <c r="I88" s="11"/>
      <c r="J88" s="11"/>
      <c r="L88" s="11"/>
      <c r="M88" s="11"/>
      <c r="N88" s="11"/>
      <c r="O88" s="34"/>
      <c r="P88" s="11"/>
    </row>
    <row r="89" spans="1:16" ht="14.25" customHeight="1" thickBot="1" x14ac:dyDescent="0.35">
      <c r="B89" s="191" t="s">
        <v>70</v>
      </c>
      <c r="C89" s="192"/>
      <c r="D89" s="193"/>
      <c r="E89" s="49">
        <f>SUM(E83:E88)</f>
        <v>2889.3508248861494</v>
      </c>
      <c r="F89" s="29"/>
      <c r="H89" s="11"/>
      <c r="I89" s="11"/>
      <c r="J89" s="11"/>
      <c r="L89" s="11"/>
      <c r="M89" s="11"/>
      <c r="N89" s="11"/>
      <c r="O89" s="34"/>
      <c r="P89" s="11"/>
    </row>
    <row r="90" spans="1:16" ht="14.25" customHeight="1" thickBot="1" x14ac:dyDescent="0.35">
      <c r="H90" s="11"/>
      <c r="I90" s="11"/>
      <c r="L90" s="11"/>
      <c r="M90" s="11"/>
      <c r="N90" s="11"/>
      <c r="O90" s="11"/>
      <c r="P90" s="11"/>
    </row>
    <row r="91" spans="1:16" ht="14.25" customHeight="1" thickBot="1" x14ac:dyDescent="0.35">
      <c r="B91" s="197" t="s">
        <v>71</v>
      </c>
      <c r="C91" s="198"/>
      <c r="D91" s="198"/>
      <c r="E91" s="50">
        <f>SUM(E89+E80+E71+E59+E50+E25)</f>
        <v>28664.854681281198</v>
      </c>
      <c r="F91" s="29"/>
      <c r="H91" s="54"/>
      <c r="J91" s="11"/>
      <c r="L91" s="11"/>
      <c r="M91" s="11"/>
      <c r="N91" s="11"/>
      <c r="O91" s="11"/>
      <c r="P91" s="11"/>
    </row>
    <row r="92" spans="1:16" ht="14.25" customHeight="1" thickBot="1" x14ac:dyDescent="0.35">
      <c r="H92" s="11"/>
      <c r="I92" s="11"/>
    </row>
    <row r="93" spans="1:16" ht="14.25" customHeight="1" thickBot="1" x14ac:dyDescent="0.35">
      <c r="B93" s="199" t="s">
        <v>72</v>
      </c>
      <c r="C93" s="200"/>
      <c r="D93" s="200"/>
      <c r="E93" s="51">
        <f>E91*E13</f>
        <v>114659.41872512479</v>
      </c>
      <c r="F93" s="29"/>
      <c r="H93" s="54"/>
    </row>
    <row r="94" spans="1:16" ht="14.25" customHeight="1" x14ac:dyDescent="0.3">
      <c r="B94" s="10"/>
      <c r="C94" s="10"/>
      <c r="D94" s="52"/>
      <c r="E94" s="9"/>
      <c r="F94" s="53"/>
      <c r="G94" s="53"/>
      <c r="H94" s="53"/>
    </row>
    <row r="95" spans="1:16" ht="14.25" customHeight="1" x14ac:dyDescent="0.3">
      <c r="M95" s="54"/>
    </row>
  </sheetData>
  <mergeCells count="49">
    <mergeCell ref="B93:D93"/>
    <mergeCell ref="B73:E73"/>
    <mergeCell ref="B74:D74"/>
    <mergeCell ref="B80:D80"/>
    <mergeCell ref="B82:E82"/>
    <mergeCell ref="B89:D89"/>
    <mergeCell ref="B91:D91"/>
    <mergeCell ref="B71:D71"/>
    <mergeCell ref="H53:H54"/>
    <mergeCell ref="I53:I54"/>
    <mergeCell ref="H55:H57"/>
    <mergeCell ref="I55:I57"/>
    <mergeCell ref="B59:D59"/>
    <mergeCell ref="B61:E61"/>
    <mergeCell ref="B62:E62"/>
    <mergeCell ref="B63:C63"/>
    <mergeCell ref="H67:H68"/>
    <mergeCell ref="I67:I68"/>
    <mergeCell ref="B70:D70"/>
    <mergeCell ref="B52:E52"/>
    <mergeCell ref="B28:E28"/>
    <mergeCell ref="B34:E34"/>
    <mergeCell ref="H42:H44"/>
    <mergeCell ref="I42:I44"/>
    <mergeCell ref="B43:C43"/>
    <mergeCell ref="B44:E44"/>
    <mergeCell ref="B45:D45"/>
    <mergeCell ref="B46:D46"/>
    <mergeCell ref="B48:D48"/>
    <mergeCell ref="B49:D49"/>
    <mergeCell ref="B50:D50"/>
    <mergeCell ref="B27:E27"/>
    <mergeCell ref="B10:E10"/>
    <mergeCell ref="B11:C11"/>
    <mergeCell ref="B12:D12"/>
    <mergeCell ref="B13:C13"/>
    <mergeCell ref="B15:E15"/>
    <mergeCell ref="C16:D16"/>
    <mergeCell ref="C17:D17"/>
    <mergeCell ref="C18:D18"/>
    <mergeCell ref="C19:D19"/>
    <mergeCell ref="B21:E21"/>
    <mergeCell ref="B25:D25"/>
    <mergeCell ref="B8:D8"/>
    <mergeCell ref="B2:E2"/>
    <mergeCell ref="B4:E4"/>
    <mergeCell ref="B5:D5"/>
    <mergeCell ref="B6:D6"/>
    <mergeCell ref="B7:D7"/>
  </mergeCells>
  <dataValidations count="10">
    <dataValidation allowBlank="1" showInputMessage="1" showErrorMessage="1" errorTitle="Valor inválido" error="Mínimo aceito = 2%_x000a_Máximo aceito = 5%" sqref="D88" xr:uid="{FE4CF26C-8BB3-4A3C-8303-E5DE7A7810A8}"/>
    <dataValidation operator="lessThanOrEqual" showInputMessage="1" errorTitle="Valor inválido" error="Máximo aceito = 5%" sqref="D83" xr:uid="{6F6C328B-2120-4A91-9B29-4C6F3FBB3EC2}"/>
    <dataValidation type="decimal" allowBlank="1" showInputMessage="1" showErrorMessage="1" errorTitle="Valor inválido" error="Mínimo aceito = 2%_x000a_Máximo aceito = 5%" sqref="D87" xr:uid="{CE02E57E-DFDD-4DD5-9999-E4872A8FED14}">
      <formula1>0.02</formula1>
      <formula2>0.05</formula2>
    </dataValidation>
    <dataValidation type="decimal" operator="lessThanOrEqual" allowBlank="1" showInputMessage="1" showErrorMessage="1" errorTitle="Valor inválido" error="Máximo aceito = 6%" sqref="D41 D37" xr:uid="{0A2741AD-22FA-4FC6-904D-462C7FEED709}">
      <formula1>0.06</formula1>
    </dataValidation>
    <dataValidation type="decimal" operator="lessThanOrEqual" allowBlank="1" showInputMessage="1" showErrorMessage="1" errorTitle="Valor inválido" error="Deve ser igual ou inferior a 2,00% (Ref.: IBGE)" sqref="I67" xr:uid="{CB1D27E8-3BFA-4818-A3A7-B86B9A28A897}">
      <formula1>0.02</formula1>
    </dataValidation>
    <dataValidation type="decimal" operator="lessThanOrEqual" allowBlank="1" showInputMessage="1" showErrorMessage="1" errorTitle="Valor inválido" error="Deve ser igual ou inferior a 8,00% (Ref.: IBGE)" sqref="I66" xr:uid="{6A37D5D2-7CB3-4D9F-A2AA-657096C27038}">
      <formula1>0.08</formula1>
    </dataValidation>
    <dataValidation type="decimal" operator="lessThanOrEqual" allowBlank="1" showInputMessage="1" showErrorMessage="1" errorTitle="Valor inválido" error="Deve ser igual ou inferior a 1,50% (Ref.: IBGE)" sqref="I65" xr:uid="{BBAAAB4C-C4ED-4251-B164-B9E04E608814}">
      <formula1>0.015</formula1>
    </dataValidation>
    <dataValidation type="decimal" operator="lessThanOrEqual" allowBlank="1" showInputMessage="1" showErrorMessage="1" errorTitle="Valor inválido" error="Deve ser igual ou inferior a 5,55 (Ref.: TCU)" sqref="I53" xr:uid="{69756B95-4EF7-44AF-A645-1CD60F6F2D1C}">
      <formula1>0.0555</formula1>
    </dataValidation>
    <dataValidation type="decimal" operator="lessThanOrEqual" allowBlank="1" showInputMessage="1" showErrorMessage="1" errorTitle="Valor inválido" error="Deve ser igual ou inferior a 5,96 (Ref.: IBGE)" sqref="I64" xr:uid="{1B1EFD9D-A30A-4BF0-B9AC-1034C7875905}">
      <formula1>5.96</formula1>
    </dataValidation>
    <dataValidation type="list" allowBlank="1" showInputMessage="1" showErrorMessage="1" sqref="H13" xr:uid="{DE6BD44D-CE7A-46D3-BB5E-32B50B14E9A3}">
      <formula1>$J$2:$J$3</formula1>
    </dataValidation>
  </dataValidations>
  <pageMargins left="0.511811024" right="0.511811024" top="0.78740157499999996" bottom="0.78740157499999996" header="0.31496062000000002" footer="0.31496062000000002"/>
  <pageSetup paperSize="9" scale="56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7BBE5-9A8E-4F25-8DEF-BA8E170FB82F}">
  <sheetPr codeName="Planilha12">
    <pageSetUpPr fitToPage="1"/>
  </sheetPr>
  <dimension ref="A1:Q95"/>
  <sheetViews>
    <sheetView topLeftCell="A49" zoomScaleNormal="100" workbookViewId="0">
      <selection activeCell="D64" sqref="D64"/>
    </sheetView>
  </sheetViews>
  <sheetFormatPr defaultColWidth="9.109375" defaultRowHeight="11.4" x14ac:dyDescent="0.3"/>
  <cols>
    <col min="1" max="1" width="1.6640625" style="2" customWidth="1"/>
    <col min="2" max="2" width="13.6640625" style="1" customWidth="1"/>
    <col min="3" max="3" width="59.44140625" style="1" customWidth="1"/>
    <col min="4" max="4" width="12.109375" style="1" customWidth="1"/>
    <col min="5" max="5" width="15.44140625" style="1" bestFit="1" customWidth="1"/>
    <col min="6" max="6" width="1.6640625" style="1" customWidth="1"/>
    <col min="7" max="7" width="1.6640625" style="2" customWidth="1"/>
    <col min="8" max="8" width="18.33203125" style="2" customWidth="1"/>
    <col min="9" max="9" width="11.6640625" style="2" bestFit="1" customWidth="1"/>
    <col min="10" max="10" width="9.109375" style="2" customWidth="1"/>
    <col min="11" max="11" width="27.109375" style="2" customWidth="1"/>
    <col min="12" max="12" width="9.109375" style="2" customWidth="1"/>
    <col min="13" max="13" width="18.5546875" style="2" customWidth="1"/>
    <col min="14" max="14" width="13.109375" style="2" customWidth="1"/>
    <col min="15" max="19" width="9.109375" style="2" customWidth="1"/>
    <col min="20" max="16384" width="9.109375" style="2"/>
  </cols>
  <sheetData>
    <row r="1" spans="2:16" ht="14.25" customHeight="1" thickBot="1" x14ac:dyDescent="0.35"/>
    <row r="2" spans="2:16" s="1" customFormat="1" ht="22.5" customHeight="1" thickBot="1" x14ac:dyDescent="0.35">
      <c r="B2" s="239" t="s">
        <v>73</v>
      </c>
      <c r="C2" s="240"/>
      <c r="D2" s="240"/>
      <c r="E2" s="241"/>
      <c r="G2" s="3"/>
      <c r="J2" s="3"/>
    </row>
    <row r="3" spans="2:16" ht="14.25" customHeight="1" thickBot="1" x14ac:dyDescent="0.35">
      <c r="J3" s="3"/>
    </row>
    <row r="4" spans="2:16" ht="14.25" customHeight="1" x14ac:dyDescent="0.3">
      <c r="B4" s="218" t="s">
        <v>2</v>
      </c>
      <c r="C4" s="219"/>
      <c r="D4" s="219"/>
      <c r="E4" s="220"/>
      <c r="J4" s="3"/>
    </row>
    <row r="5" spans="2:16" ht="14.25" customHeight="1" x14ac:dyDescent="0.3">
      <c r="B5" s="242" t="s">
        <v>3</v>
      </c>
      <c r="C5" s="243"/>
      <c r="D5" s="244"/>
      <c r="E5" s="4"/>
      <c r="J5" s="3"/>
    </row>
    <row r="6" spans="2:16" ht="14.25" customHeight="1" x14ac:dyDescent="0.3">
      <c r="B6" s="201" t="s">
        <v>4</v>
      </c>
      <c r="C6" s="202"/>
      <c r="D6" s="203"/>
      <c r="E6" s="5" t="s">
        <v>5</v>
      </c>
      <c r="J6" s="3"/>
    </row>
    <row r="7" spans="2:16" ht="14.25" customHeight="1" x14ac:dyDescent="0.3">
      <c r="B7" s="201" t="s">
        <v>6</v>
      </c>
      <c r="C7" s="202"/>
      <c r="D7" s="203"/>
      <c r="E7" s="5" t="s">
        <v>148</v>
      </c>
      <c r="J7" s="3"/>
    </row>
    <row r="8" spans="2:16" ht="14.25" customHeight="1" thickBot="1" x14ac:dyDescent="0.35">
      <c r="B8" s="236" t="s">
        <v>7</v>
      </c>
      <c r="C8" s="237"/>
      <c r="D8" s="238"/>
      <c r="E8" s="6">
        <v>12</v>
      </c>
      <c r="J8" s="3"/>
    </row>
    <row r="9" spans="2:16" ht="14.25" customHeight="1" thickBot="1" x14ac:dyDescent="0.35">
      <c r="J9" s="3"/>
    </row>
    <row r="10" spans="2:16" ht="14.25" customHeight="1" thickBot="1" x14ac:dyDescent="0.35">
      <c r="B10" s="218" t="s">
        <v>8</v>
      </c>
      <c r="C10" s="219"/>
      <c r="D10" s="219"/>
      <c r="E10" s="220"/>
      <c r="J10" s="3"/>
    </row>
    <row r="11" spans="2:16" s="10" customFormat="1" ht="33" customHeight="1" x14ac:dyDescent="0.3">
      <c r="B11" s="221" t="s">
        <v>9</v>
      </c>
      <c r="C11" s="222"/>
      <c r="D11" s="7" t="s">
        <v>10</v>
      </c>
      <c r="E11" s="8" t="s">
        <v>11</v>
      </c>
      <c r="F11" s="9"/>
      <c r="I11" s="11"/>
      <c r="J11" s="11"/>
      <c r="K11" s="11"/>
      <c r="L11" s="11"/>
      <c r="M11" s="11">
        <f>'1'!E91</f>
        <v>23924.14823739705</v>
      </c>
      <c r="N11" s="11"/>
      <c r="O11" s="11"/>
      <c r="P11" s="11"/>
    </row>
    <row r="12" spans="2:16" s="10" customFormat="1" ht="12" x14ac:dyDescent="0.3">
      <c r="B12" s="234" t="s">
        <v>91</v>
      </c>
      <c r="C12" s="235"/>
      <c r="D12" s="235"/>
      <c r="E12" s="61" t="s">
        <v>107</v>
      </c>
      <c r="F12" s="9"/>
      <c r="I12" s="11"/>
      <c r="J12" s="11"/>
      <c r="K12" s="11"/>
      <c r="L12" s="11"/>
      <c r="M12" s="11"/>
      <c r="N12" s="11"/>
      <c r="O12" s="11"/>
      <c r="P12" s="11"/>
    </row>
    <row r="13" spans="2:16" ht="14.25" customHeight="1" thickBot="1" x14ac:dyDescent="0.35">
      <c r="B13" s="223" t="s">
        <v>226</v>
      </c>
      <c r="C13" s="224"/>
      <c r="D13" s="12" t="s">
        <v>12</v>
      </c>
      <c r="E13" s="13">
        <v>12</v>
      </c>
      <c r="F13" s="14"/>
      <c r="H13" s="15"/>
      <c r="I13" s="11"/>
      <c r="J13" s="11"/>
      <c r="K13" s="11"/>
      <c r="L13" s="11"/>
      <c r="M13" s="11"/>
      <c r="N13" s="11"/>
      <c r="O13" s="11"/>
      <c r="P13" s="11"/>
    </row>
    <row r="14" spans="2:16" ht="14.25" customHeight="1" thickBot="1" x14ac:dyDescent="0.35">
      <c r="H14" s="11"/>
      <c r="I14" s="11"/>
      <c r="J14" s="11"/>
      <c r="K14" s="11"/>
      <c r="L14" s="11"/>
      <c r="M14" s="11"/>
      <c r="N14" s="11"/>
      <c r="O14" s="11"/>
      <c r="P14" s="11"/>
    </row>
    <row r="15" spans="2:16" ht="14.25" customHeight="1" x14ac:dyDescent="0.3">
      <c r="B15" s="218" t="s">
        <v>13</v>
      </c>
      <c r="C15" s="219"/>
      <c r="D15" s="219"/>
      <c r="E15" s="220"/>
      <c r="H15" s="11"/>
      <c r="I15" s="11"/>
      <c r="J15" s="11"/>
      <c r="K15" s="11"/>
      <c r="L15" s="11"/>
      <c r="M15" s="11"/>
      <c r="N15" s="11"/>
      <c r="O15" s="11"/>
      <c r="P15" s="11"/>
    </row>
    <row r="16" spans="2:16" ht="14.25" customHeight="1" x14ac:dyDescent="0.3">
      <c r="B16" s="16">
        <v>1</v>
      </c>
      <c r="C16" s="225" t="s">
        <v>14</v>
      </c>
      <c r="D16" s="226"/>
      <c r="E16" s="17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14.25" customHeight="1" x14ac:dyDescent="0.3">
      <c r="B17" s="18">
        <v>2</v>
      </c>
      <c r="C17" s="227" t="s">
        <v>15</v>
      </c>
      <c r="D17" s="228"/>
      <c r="E17" s="17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14.25" customHeight="1" x14ac:dyDescent="0.3">
      <c r="B18" s="18">
        <v>3</v>
      </c>
      <c r="C18" s="227" t="s">
        <v>16</v>
      </c>
      <c r="D18" s="228"/>
      <c r="E18" s="17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14.25" customHeight="1" thickBot="1" x14ac:dyDescent="0.35">
      <c r="B19" s="19">
        <v>4</v>
      </c>
      <c r="C19" s="229" t="s">
        <v>17</v>
      </c>
      <c r="D19" s="230"/>
      <c r="E19" s="55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4.25" customHeight="1" thickBot="1" x14ac:dyDescent="0.35"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4.25" customHeight="1" x14ac:dyDescent="0.3">
      <c r="B21" s="231" t="s">
        <v>18</v>
      </c>
      <c r="C21" s="232"/>
      <c r="D21" s="232"/>
      <c r="E21" s="233"/>
      <c r="F21" s="20"/>
      <c r="H21" s="11"/>
      <c r="I21" s="11"/>
      <c r="J21" s="11"/>
      <c r="K21" s="11"/>
      <c r="L21" s="11"/>
      <c r="M21" s="11">
        <f>'11'!E91</f>
        <v>16655.190792319532</v>
      </c>
      <c r="N21" s="11"/>
      <c r="O21" s="11"/>
      <c r="P21" s="11"/>
    </row>
    <row r="22" spans="1:16" ht="14.25" customHeight="1" x14ac:dyDescent="0.3">
      <c r="B22" s="21" t="s">
        <v>19</v>
      </c>
      <c r="C22" s="22"/>
      <c r="D22" s="23"/>
      <c r="E22" s="17">
        <v>11326.16</v>
      </c>
      <c r="F22" s="24"/>
      <c r="H22" s="34"/>
      <c r="I22" s="34"/>
      <c r="J22" s="11"/>
      <c r="K22" s="11"/>
      <c r="L22" s="11"/>
      <c r="M22" s="11"/>
      <c r="N22" s="11"/>
      <c r="O22" s="11"/>
      <c r="P22" s="11"/>
    </row>
    <row r="23" spans="1:16" ht="14.25" customHeight="1" x14ac:dyDescent="0.3">
      <c r="B23" s="25" t="s">
        <v>74</v>
      </c>
      <c r="C23" s="26"/>
      <c r="D23" s="27"/>
      <c r="E23" s="17"/>
      <c r="F23" s="24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14.25" customHeight="1" x14ac:dyDescent="0.3">
      <c r="B24" s="25" t="s">
        <v>20</v>
      </c>
      <c r="C24" s="26"/>
      <c r="D24" s="27"/>
      <c r="E24" s="17"/>
      <c r="F24" s="24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14.25" customHeight="1" thickBot="1" x14ac:dyDescent="0.35">
      <c r="B25" s="191" t="s">
        <v>21</v>
      </c>
      <c r="C25" s="192"/>
      <c r="D25" s="193"/>
      <c r="E25" s="28">
        <v>11326.16</v>
      </c>
      <c r="F25" s="29"/>
      <c r="H25" s="11"/>
      <c r="I25" s="11"/>
      <c r="J25" s="11"/>
      <c r="K25" s="11"/>
      <c r="L25" s="11"/>
      <c r="M25" s="11"/>
      <c r="N25" s="11"/>
      <c r="O25" s="11"/>
      <c r="P25" s="11"/>
    </row>
    <row r="26" spans="1:16" ht="14.25" customHeight="1" thickBot="1" x14ac:dyDescent="0.35"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14.25" customHeight="1" thickBot="1" x14ac:dyDescent="0.35">
      <c r="B27" s="194" t="s">
        <v>22</v>
      </c>
      <c r="C27" s="195"/>
      <c r="D27" s="195"/>
      <c r="E27" s="196"/>
      <c r="F27" s="20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14.25" customHeight="1" x14ac:dyDescent="0.3">
      <c r="B28" s="212" t="s">
        <v>23</v>
      </c>
      <c r="C28" s="213"/>
      <c r="D28" s="213"/>
      <c r="E28" s="214"/>
      <c r="H28" s="11"/>
      <c r="I28" s="11"/>
      <c r="J28" s="11"/>
      <c r="K28" s="11"/>
      <c r="L28" s="11"/>
      <c r="M28" s="11"/>
      <c r="N28" s="11"/>
      <c r="O28" s="11"/>
      <c r="P28" s="11"/>
    </row>
    <row r="29" spans="1:16" ht="14.25" customHeight="1" x14ac:dyDescent="0.3">
      <c r="A29" s="2" t="s">
        <v>24</v>
      </c>
      <c r="B29" s="21" t="s">
        <v>25</v>
      </c>
      <c r="C29" s="22"/>
      <c r="D29" s="30">
        <v>8.3299999999999999E-2</v>
      </c>
      <c r="E29" s="57">
        <f>D29*E22</f>
        <v>943.46912799999996</v>
      </c>
      <c r="F29" s="32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14.25" customHeight="1" x14ac:dyDescent="0.3">
      <c r="A30" s="2" t="s">
        <v>26</v>
      </c>
      <c r="B30" s="21" t="s">
        <v>27</v>
      </c>
      <c r="C30" s="22"/>
      <c r="D30" s="30">
        <v>0.121</v>
      </c>
      <c r="E30" s="57">
        <f>D30*E25</f>
        <v>1370.4653599999999</v>
      </c>
      <c r="F30" s="32"/>
      <c r="H30" s="11"/>
      <c r="I30" s="34"/>
      <c r="J30" s="11"/>
      <c r="K30" s="11"/>
      <c r="L30" s="11"/>
      <c r="M30" s="11"/>
      <c r="N30" s="11"/>
      <c r="O30" s="11"/>
      <c r="P30" s="11"/>
    </row>
    <row r="31" spans="1:16" ht="14.25" customHeight="1" thickBot="1" x14ac:dyDescent="0.35">
      <c r="B31" s="93" t="s">
        <v>163</v>
      </c>
      <c r="C31" s="94"/>
      <c r="D31" s="163">
        <f>D29+D30</f>
        <v>0.20429999999999998</v>
      </c>
      <c r="E31" s="33">
        <f>SUM(E29:E30)</f>
        <v>2313.9344879999999</v>
      </c>
      <c r="F31" s="29"/>
      <c r="H31" s="11"/>
      <c r="I31" s="11"/>
      <c r="J31" s="11"/>
      <c r="K31" s="11"/>
      <c r="L31" s="11"/>
      <c r="M31" s="11"/>
      <c r="N31" s="11"/>
      <c r="O31" s="11"/>
      <c r="P31" s="11"/>
    </row>
    <row r="32" spans="1:16" ht="14.25" customHeight="1" x14ac:dyDescent="0.3">
      <c r="B32" s="21" t="s">
        <v>250</v>
      </c>
      <c r="C32" s="22"/>
      <c r="D32" s="95">
        <f>D43*D31</f>
        <v>4.0451890319999996E-2</v>
      </c>
      <c r="E32" s="57">
        <f>D32*E25</f>
        <v>458.16458206677117</v>
      </c>
      <c r="F32" s="29"/>
      <c r="H32" s="11"/>
      <c r="I32" s="11"/>
      <c r="J32" s="11"/>
      <c r="K32" s="11"/>
      <c r="L32" s="11"/>
      <c r="M32" s="11"/>
      <c r="N32" s="11"/>
      <c r="O32" s="11"/>
      <c r="P32" s="11"/>
    </row>
    <row r="33" spans="1:16" ht="14.25" customHeight="1" thickBot="1" x14ac:dyDescent="0.35">
      <c r="B33" s="93" t="s">
        <v>28</v>
      </c>
      <c r="C33" s="94"/>
      <c r="D33" s="97">
        <f>SUM(D31+D32)</f>
        <v>0.24475189031999997</v>
      </c>
      <c r="E33" s="33">
        <f>SUM(E31:E32)</f>
        <v>2772.0990700667712</v>
      </c>
      <c r="F33" s="29"/>
      <c r="H33" s="34"/>
      <c r="I33" s="11"/>
      <c r="J33" s="11"/>
      <c r="K33" s="11"/>
      <c r="L33" s="11"/>
      <c r="M33" s="11"/>
      <c r="N33" s="11"/>
      <c r="O33" s="11"/>
      <c r="P33" s="11"/>
    </row>
    <row r="34" spans="1:16" ht="14.25" customHeight="1" x14ac:dyDescent="0.3">
      <c r="B34" s="212" t="s">
        <v>29</v>
      </c>
      <c r="C34" s="213"/>
      <c r="D34" s="213"/>
      <c r="E34" s="214"/>
      <c r="H34" s="11"/>
      <c r="I34" s="11"/>
      <c r="J34" s="11"/>
      <c r="K34" s="11"/>
      <c r="L34" s="11"/>
      <c r="M34" s="11"/>
      <c r="N34" s="11"/>
      <c r="O34" s="11"/>
      <c r="P34" s="11"/>
    </row>
    <row r="35" spans="1:16" ht="14.25" customHeight="1" x14ac:dyDescent="0.3">
      <c r="A35" s="2" t="s">
        <v>24</v>
      </c>
      <c r="B35" s="21" t="s">
        <v>30</v>
      </c>
      <c r="C35" s="22"/>
      <c r="D35" s="30">
        <v>0.05</v>
      </c>
      <c r="E35" s="57">
        <f>D35*E$25</f>
        <v>566.30799999999999</v>
      </c>
      <c r="F35" s="32"/>
      <c r="H35" s="11"/>
      <c r="I35" s="11"/>
      <c r="J35" s="11"/>
      <c r="K35" s="11"/>
      <c r="L35" s="11"/>
      <c r="M35" s="11"/>
      <c r="N35" s="11"/>
      <c r="O35" s="11"/>
      <c r="P35" s="11"/>
    </row>
    <row r="36" spans="1:16" ht="14.25" customHeight="1" x14ac:dyDescent="0.3">
      <c r="A36" s="2" t="s">
        <v>26</v>
      </c>
      <c r="B36" s="21" t="s">
        <v>31</v>
      </c>
      <c r="C36" s="22"/>
      <c r="D36" s="30">
        <v>2.5002400000000001E-2</v>
      </c>
      <c r="E36" s="57">
        <f>ROUND(D36*E$25,2)</f>
        <v>283.18</v>
      </c>
      <c r="F36" s="32"/>
      <c r="H36" s="34"/>
      <c r="I36" s="11"/>
      <c r="J36" s="11"/>
      <c r="K36" s="11"/>
      <c r="L36" s="11"/>
      <c r="M36" s="11"/>
      <c r="N36" s="11"/>
      <c r="O36" s="11"/>
      <c r="P36" s="11"/>
    </row>
    <row r="37" spans="1:16" ht="14.25" customHeight="1" x14ac:dyDescent="0.3">
      <c r="A37" s="2" t="s">
        <v>32</v>
      </c>
      <c r="B37" s="21" t="s">
        <v>33</v>
      </c>
      <c r="C37" s="22"/>
      <c r="D37" s="35">
        <v>0.01</v>
      </c>
      <c r="E37" s="57">
        <f t="shared" ref="E37:E42" si="0">D37*E$25</f>
        <v>113.2616</v>
      </c>
      <c r="F37" s="32"/>
      <c r="H37" s="11"/>
      <c r="I37" s="11"/>
      <c r="J37" s="11"/>
      <c r="K37" s="11"/>
      <c r="L37" s="11"/>
      <c r="M37" s="11"/>
      <c r="N37" s="11"/>
      <c r="O37" s="11"/>
      <c r="P37" s="11"/>
    </row>
    <row r="38" spans="1:16" ht="14.25" customHeight="1" x14ac:dyDescent="0.3">
      <c r="A38" s="2" t="s">
        <v>34</v>
      </c>
      <c r="B38" s="21" t="s">
        <v>35</v>
      </c>
      <c r="C38" s="22"/>
      <c r="D38" s="30">
        <v>1.4999999999999999E-2</v>
      </c>
      <c r="E38" s="57">
        <f t="shared" si="0"/>
        <v>169.89239999999998</v>
      </c>
      <c r="F38" s="32"/>
      <c r="H38" s="11"/>
      <c r="I38" s="11"/>
      <c r="J38" s="11"/>
      <c r="K38" s="11"/>
      <c r="L38" s="11"/>
      <c r="M38" s="11"/>
      <c r="N38" s="11"/>
      <c r="O38" s="11"/>
      <c r="P38" s="11"/>
    </row>
    <row r="39" spans="1:16" ht="14.25" customHeight="1" x14ac:dyDescent="0.3">
      <c r="A39" s="2" t="s">
        <v>36</v>
      </c>
      <c r="B39" s="21" t="s">
        <v>37</v>
      </c>
      <c r="C39" s="22"/>
      <c r="D39" s="30">
        <v>0.01</v>
      </c>
      <c r="E39" s="57">
        <f t="shared" si="0"/>
        <v>113.2616</v>
      </c>
      <c r="F39" s="32"/>
      <c r="H39" s="11"/>
      <c r="I39" s="11"/>
      <c r="J39" s="11"/>
      <c r="K39" s="11"/>
      <c r="L39" s="11"/>
      <c r="M39" s="11"/>
      <c r="N39" s="11"/>
      <c r="O39" s="11"/>
      <c r="P39" s="11"/>
    </row>
    <row r="40" spans="1:16" ht="14.25" customHeight="1" x14ac:dyDescent="0.3">
      <c r="A40" s="2" t="s">
        <v>38</v>
      </c>
      <c r="B40" s="21" t="s">
        <v>39</v>
      </c>
      <c r="C40" s="22"/>
      <c r="D40" s="30">
        <v>6.0000000000000001E-3</v>
      </c>
      <c r="E40" s="57">
        <f t="shared" si="0"/>
        <v>67.956959999999995</v>
      </c>
      <c r="F40" s="32"/>
      <c r="H40" s="11"/>
      <c r="I40" s="11"/>
      <c r="J40" s="11"/>
      <c r="K40" s="11"/>
      <c r="L40" s="11"/>
      <c r="M40" s="11"/>
      <c r="N40" s="11"/>
      <c r="O40" s="11"/>
      <c r="P40" s="11"/>
    </row>
    <row r="41" spans="1:16" ht="14.25" customHeight="1" x14ac:dyDescent="0.3">
      <c r="A41" s="2" t="s">
        <v>40</v>
      </c>
      <c r="B41" s="21" t="s">
        <v>41</v>
      </c>
      <c r="C41" s="22"/>
      <c r="D41" s="36">
        <v>2E-3</v>
      </c>
      <c r="E41" s="57">
        <f t="shared" si="0"/>
        <v>22.65232</v>
      </c>
      <c r="F41" s="32"/>
      <c r="H41" s="11"/>
      <c r="I41" s="11"/>
      <c r="J41" s="11"/>
      <c r="K41" s="11"/>
      <c r="L41" s="11"/>
      <c r="M41" s="11"/>
      <c r="N41" s="11"/>
      <c r="O41" s="11"/>
      <c r="P41" s="11"/>
    </row>
    <row r="42" spans="1:16" ht="14.25" customHeight="1" x14ac:dyDescent="0.3">
      <c r="A42" s="2" t="s">
        <v>42</v>
      </c>
      <c r="B42" s="21" t="s">
        <v>43</v>
      </c>
      <c r="C42" s="22"/>
      <c r="D42" s="30">
        <v>0.08</v>
      </c>
      <c r="E42" s="57">
        <f t="shared" si="0"/>
        <v>906.09280000000001</v>
      </c>
      <c r="F42" s="32"/>
      <c r="H42" s="245"/>
      <c r="I42" s="246">
        <v>22</v>
      </c>
      <c r="J42" s="11"/>
      <c r="K42" s="11"/>
      <c r="L42" s="11"/>
      <c r="M42" s="11"/>
      <c r="N42" s="11"/>
      <c r="O42" s="11"/>
      <c r="P42" s="11"/>
    </row>
    <row r="43" spans="1:16" ht="14.25" customHeight="1" thickBot="1" x14ac:dyDescent="0.35">
      <c r="B43" s="215" t="s">
        <v>44</v>
      </c>
      <c r="C43" s="216"/>
      <c r="D43" s="37">
        <f>SUM(D35:D42)</f>
        <v>0.1980024</v>
      </c>
      <c r="E43" s="33">
        <f>SUM(E35:E42)</f>
        <v>2242.6056800000001</v>
      </c>
      <c r="F43" s="29"/>
      <c r="H43" s="245"/>
      <c r="I43" s="246"/>
      <c r="J43" s="34">
        <f>E43-H43</f>
        <v>2242.6056800000001</v>
      </c>
      <c r="K43" s="11"/>
      <c r="L43" s="11"/>
      <c r="M43" s="11"/>
      <c r="N43" s="11"/>
      <c r="O43" s="11"/>
      <c r="P43" s="11"/>
    </row>
    <row r="44" spans="1:16" ht="14.25" customHeight="1" x14ac:dyDescent="0.3">
      <c r="B44" s="212" t="s">
        <v>45</v>
      </c>
      <c r="C44" s="213"/>
      <c r="D44" s="213"/>
      <c r="E44" s="214"/>
      <c r="H44" s="245"/>
      <c r="I44" s="246"/>
      <c r="J44" s="11"/>
      <c r="K44" s="11"/>
      <c r="L44" s="11"/>
      <c r="M44" s="11"/>
      <c r="N44" s="11"/>
      <c r="O44" s="11"/>
      <c r="P44" s="11"/>
    </row>
    <row r="45" spans="1:16" ht="14.25" customHeight="1" x14ac:dyDescent="0.3">
      <c r="A45" s="2" t="s">
        <v>24</v>
      </c>
      <c r="B45" s="201" t="s">
        <v>46</v>
      </c>
      <c r="C45" s="202"/>
      <c r="D45" s="203"/>
      <c r="E45" s="57">
        <v>0</v>
      </c>
      <c r="F45" s="32"/>
      <c r="H45" s="38"/>
      <c r="I45" s="39">
        <v>5.5</v>
      </c>
      <c r="J45" s="11"/>
      <c r="K45" s="11"/>
      <c r="L45" s="11"/>
      <c r="M45" s="11"/>
      <c r="N45" s="11"/>
      <c r="O45" s="11"/>
      <c r="P45" s="11"/>
    </row>
    <row r="46" spans="1:16" ht="14.25" customHeight="1" x14ac:dyDescent="0.3">
      <c r="A46" s="2" t="s">
        <v>26</v>
      </c>
      <c r="B46" s="201" t="s">
        <v>47</v>
      </c>
      <c r="C46" s="202"/>
      <c r="D46" s="203"/>
      <c r="E46" s="57">
        <v>589.77599999999995</v>
      </c>
      <c r="F46" s="32"/>
      <c r="H46" s="38"/>
      <c r="I46" s="41"/>
      <c r="J46" s="11"/>
      <c r="K46" s="11"/>
      <c r="L46" s="70"/>
      <c r="M46" s="11"/>
      <c r="N46" s="11"/>
      <c r="O46" s="11"/>
      <c r="P46" s="11"/>
    </row>
    <row r="47" spans="1:16" ht="14.25" customHeight="1" x14ac:dyDescent="0.3">
      <c r="A47" s="2" t="s">
        <v>32</v>
      </c>
      <c r="B47" s="21" t="s">
        <v>48</v>
      </c>
      <c r="C47" s="22"/>
      <c r="D47" s="40"/>
      <c r="E47" s="57">
        <v>165</v>
      </c>
      <c r="F47" s="32"/>
      <c r="H47" s="38"/>
      <c r="I47" s="41"/>
      <c r="J47" s="11"/>
      <c r="K47" s="11"/>
      <c r="L47" s="11"/>
      <c r="M47" s="11"/>
      <c r="N47" s="11"/>
      <c r="O47" s="11"/>
      <c r="P47" s="11"/>
    </row>
    <row r="48" spans="1:16" ht="14.25" customHeight="1" x14ac:dyDescent="0.3">
      <c r="A48" s="2" t="s">
        <v>34</v>
      </c>
      <c r="B48" s="201" t="s">
        <v>20</v>
      </c>
      <c r="C48" s="202"/>
      <c r="D48" s="203"/>
      <c r="E48" s="31"/>
      <c r="F48" s="32"/>
      <c r="H48" s="38"/>
      <c r="I48" s="58"/>
      <c r="J48" s="11"/>
      <c r="K48" s="11"/>
      <c r="L48" s="11"/>
      <c r="M48" s="11"/>
      <c r="N48" s="11"/>
      <c r="O48" s="11"/>
      <c r="P48" s="11"/>
    </row>
    <row r="49" spans="1:17" ht="14.25" customHeight="1" thickBot="1" x14ac:dyDescent="0.35">
      <c r="B49" s="215" t="s">
        <v>49</v>
      </c>
      <c r="C49" s="217"/>
      <c r="D49" s="216">
        <v>0</v>
      </c>
      <c r="E49" s="33">
        <f>SUM(E45:E47)</f>
        <v>754.77599999999995</v>
      </c>
      <c r="F49" s="29"/>
      <c r="H49" s="38"/>
      <c r="I49" s="41"/>
      <c r="J49" s="11"/>
      <c r="K49" s="11"/>
      <c r="L49" s="11"/>
      <c r="M49" s="11"/>
      <c r="N49" s="11"/>
      <c r="O49" s="11"/>
      <c r="P49" s="11"/>
    </row>
    <row r="50" spans="1:17" ht="14.25" customHeight="1" thickBot="1" x14ac:dyDescent="0.35">
      <c r="B50" s="191" t="s">
        <v>50</v>
      </c>
      <c r="C50" s="192"/>
      <c r="D50" s="193"/>
      <c r="E50" s="28">
        <f>E43+E33+E49</f>
        <v>5769.4807500667712</v>
      </c>
      <c r="F50" s="29"/>
      <c r="H50" s="38"/>
      <c r="I50" s="41"/>
      <c r="J50" s="11"/>
      <c r="K50" s="11"/>
      <c r="L50" s="11"/>
      <c r="M50" s="11"/>
      <c r="N50" s="11"/>
      <c r="O50" s="11"/>
      <c r="P50" s="11"/>
    </row>
    <row r="51" spans="1:17" ht="14.25" customHeight="1" thickBot="1" x14ac:dyDescent="0.35">
      <c r="H51" s="38"/>
      <c r="I51" s="41"/>
      <c r="J51" s="11"/>
      <c r="K51" s="11"/>
      <c r="L51" s="11"/>
      <c r="M51" s="11"/>
      <c r="N51" s="11"/>
      <c r="O51" s="11"/>
      <c r="P51" s="11"/>
    </row>
    <row r="52" spans="1:17" ht="14.25" customHeight="1" thickBot="1" x14ac:dyDescent="0.35">
      <c r="B52" s="194" t="s">
        <v>51</v>
      </c>
      <c r="C52" s="195"/>
      <c r="D52" s="195"/>
      <c r="E52" s="196"/>
      <c r="F52" s="20"/>
      <c r="H52" s="38"/>
      <c r="I52" s="41"/>
      <c r="J52" s="11"/>
      <c r="K52" s="11"/>
      <c r="L52" s="11"/>
      <c r="M52" s="11"/>
      <c r="N52" s="11"/>
      <c r="O52" s="11"/>
      <c r="P52" s="11"/>
    </row>
    <row r="53" spans="1:17" ht="14.25" customHeight="1" x14ac:dyDescent="0.3">
      <c r="A53" s="2" t="s">
        <v>24</v>
      </c>
      <c r="B53" s="21" t="s">
        <v>52</v>
      </c>
      <c r="C53" s="21"/>
      <c r="D53" s="30">
        <v>4.2119999999999996E-3</v>
      </c>
      <c r="E53" s="57">
        <f t="shared" ref="E53:E58" si="1">D53*E$25</f>
        <v>47.705785919999997</v>
      </c>
      <c r="F53" s="32"/>
      <c r="H53" s="245" t="s">
        <v>53</v>
      </c>
      <c r="I53" s="247">
        <v>5.5500000000000001E-2</v>
      </c>
      <c r="J53" s="11"/>
      <c r="K53" s="11"/>
      <c r="L53" s="11"/>
      <c r="M53" s="11"/>
      <c r="N53" s="11"/>
      <c r="O53" s="11"/>
      <c r="P53" s="11"/>
    </row>
    <row r="54" spans="1:17" ht="14.25" customHeight="1" x14ac:dyDescent="0.3">
      <c r="A54" s="2" t="s">
        <v>26</v>
      </c>
      <c r="B54" s="21" t="s">
        <v>54</v>
      </c>
      <c r="C54" s="21"/>
      <c r="D54" s="30">
        <v>3.3695999999999997E-4</v>
      </c>
      <c r="E54" s="57">
        <f t="shared" si="1"/>
        <v>3.8164628735999995</v>
      </c>
      <c r="F54" s="32"/>
      <c r="H54" s="245"/>
      <c r="I54" s="247"/>
      <c r="J54" s="11"/>
      <c r="K54" s="11"/>
      <c r="L54" s="11"/>
      <c r="M54" s="11"/>
      <c r="N54" s="11"/>
      <c r="O54" s="11"/>
      <c r="P54" s="11"/>
    </row>
    <row r="55" spans="1:17" ht="14.25" customHeight="1" x14ac:dyDescent="0.3">
      <c r="A55" s="2" t="s">
        <v>32</v>
      </c>
      <c r="B55" s="21" t="s">
        <v>55</v>
      </c>
      <c r="C55" s="21"/>
      <c r="D55" s="30">
        <v>0.02</v>
      </c>
      <c r="E55" s="57">
        <f t="shared" si="1"/>
        <v>226.5232</v>
      </c>
      <c r="F55" s="32"/>
      <c r="H55" s="245" t="s">
        <v>56</v>
      </c>
      <c r="I55" s="246">
        <v>0.9</v>
      </c>
      <c r="J55" s="11"/>
      <c r="K55" s="11"/>
      <c r="L55" s="11"/>
      <c r="M55" s="105"/>
      <c r="N55" s="11"/>
      <c r="O55" s="11"/>
      <c r="P55" s="11"/>
      <c r="Q55" s="104"/>
    </row>
    <row r="56" spans="1:17" ht="14.25" customHeight="1" x14ac:dyDescent="0.3">
      <c r="A56" s="2" t="s">
        <v>34</v>
      </c>
      <c r="B56" s="21" t="s">
        <v>57</v>
      </c>
      <c r="C56" s="21"/>
      <c r="D56" s="30">
        <v>1.9444444444444445E-2</v>
      </c>
      <c r="E56" s="57">
        <f t="shared" si="1"/>
        <v>220.2308888888889</v>
      </c>
      <c r="F56" s="32"/>
      <c r="H56" s="245"/>
      <c r="I56" s="246"/>
      <c r="J56" s="11"/>
      <c r="K56" s="11"/>
      <c r="L56" s="11"/>
      <c r="M56" s="11"/>
      <c r="N56" s="11"/>
      <c r="O56" s="11"/>
      <c r="P56" s="11"/>
    </row>
    <row r="57" spans="1:17" ht="14.25" customHeight="1" x14ac:dyDescent="0.3">
      <c r="A57" s="2" t="s">
        <v>36</v>
      </c>
      <c r="B57" s="21" t="s">
        <v>58</v>
      </c>
      <c r="C57" s="22"/>
      <c r="D57" s="30">
        <v>2.8778244444444445E-3</v>
      </c>
      <c r="E57" s="57">
        <f t="shared" si="1"/>
        <v>32.594700109688887</v>
      </c>
      <c r="F57" s="32"/>
      <c r="H57" s="245"/>
      <c r="I57" s="246"/>
      <c r="J57" s="11"/>
      <c r="K57" s="11"/>
      <c r="L57" s="11"/>
      <c r="M57" s="11"/>
      <c r="N57" s="11"/>
      <c r="O57" s="11"/>
      <c r="P57" s="11"/>
    </row>
    <row r="58" spans="1:17" ht="14.25" customHeight="1" x14ac:dyDescent="0.3">
      <c r="A58" s="2" t="s">
        <v>38</v>
      </c>
      <c r="B58" s="21" t="s">
        <v>59</v>
      </c>
      <c r="C58" s="21"/>
      <c r="D58" s="30">
        <v>0.02</v>
      </c>
      <c r="E58" s="57">
        <f t="shared" si="1"/>
        <v>226.5232</v>
      </c>
      <c r="F58" s="32"/>
      <c r="H58" s="38"/>
      <c r="I58" s="38"/>
      <c r="J58" s="11"/>
      <c r="K58" s="11"/>
      <c r="L58" s="11"/>
      <c r="M58" s="11"/>
      <c r="N58" s="11"/>
      <c r="O58" s="11"/>
      <c r="P58" s="11"/>
    </row>
    <row r="59" spans="1:17" ht="14.25" customHeight="1" thickBot="1" x14ac:dyDescent="0.35">
      <c r="B59" s="191" t="s">
        <v>60</v>
      </c>
      <c r="C59" s="192"/>
      <c r="D59" s="193"/>
      <c r="E59" s="28">
        <f>SUM(E53:E58)</f>
        <v>757.39423779217782</v>
      </c>
      <c r="F59" s="29"/>
      <c r="H59" s="38"/>
      <c r="I59" s="38"/>
      <c r="J59" s="11"/>
      <c r="K59" s="11"/>
      <c r="L59" s="11"/>
      <c r="M59" s="11"/>
      <c r="N59" s="11"/>
      <c r="O59" s="11"/>
      <c r="P59" s="11"/>
    </row>
    <row r="60" spans="1:17" ht="14.25" customHeight="1" thickBot="1" x14ac:dyDescent="0.35">
      <c r="H60" s="38"/>
      <c r="I60" s="38"/>
      <c r="J60" s="11"/>
      <c r="K60" s="11"/>
      <c r="L60" s="11"/>
      <c r="M60" s="11"/>
      <c r="N60" s="11"/>
      <c r="O60" s="11"/>
      <c r="P60" s="11"/>
    </row>
    <row r="61" spans="1:17" ht="14.25" customHeight="1" x14ac:dyDescent="0.3">
      <c r="B61" s="204" t="s">
        <v>75</v>
      </c>
      <c r="C61" s="205"/>
      <c r="D61" s="205"/>
      <c r="E61" s="206"/>
      <c r="F61" s="20"/>
      <c r="H61" s="38"/>
      <c r="I61" s="38"/>
      <c r="J61" s="11"/>
      <c r="K61" s="11"/>
      <c r="L61" s="11"/>
      <c r="M61" s="11"/>
      <c r="N61" s="11"/>
      <c r="O61" s="11"/>
      <c r="P61" s="11"/>
    </row>
    <row r="62" spans="1:17" ht="14.25" customHeight="1" x14ac:dyDescent="0.3">
      <c r="B62" s="207"/>
      <c r="C62" s="208"/>
      <c r="D62" s="208"/>
      <c r="E62" s="209"/>
      <c r="H62" s="11"/>
      <c r="I62" s="11"/>
      <c r="J62" s="11"/>
      <c r="K62" s="11"/>
      <c r="L62" s="11"/>
      <c r="M62" s="11"/>
      <c r="N62" s="11"/>
      <c r="O62" s="11"/>
      <c r="P62" s="11"/>
    </row>
    <row r="63" spans="1:17" ht="14.25" customHeight="1" x14ac:dyDescent="0.3">
      <c r="A63" s="2" t="s">
        <v>24</v>
      </c>
      <c r="B63" s="201" t="s">
        <v>76</v>
      </c>
      <c r="C63" s="203"/>
      <c r="D63" s="30">
        <v>9.2999999999999992E-3</v>
      </c>
      <c r="E63" s="57">
        <f t="shared" ref="E63:E68" si="2">D63*E$25</f>
        <v>105.333288</v>
      </c>
      <c r="F63" s="32"/>
      <c r="H63" s="38"/>
      <c r="I63" s="38"/>
      <c r="J63" s="11"/>
      <c r="K63" s="11"/>
      <c r="L63" s="11"/>
      <c r="M63" s="11"/>
      <c r="N63" s="11"/>
      <c r="O63" s="11"/>
      <c r="P63" s="11"/>
    </row>
    <row r="64" spans="1:17" ht="14.25" customHeight="1" x14ac:dyDescent="0.3">
      <c r="A64" s="2" t="s">
        <v>26</v>
      </c>
      <c r="B64" s="101" t="s">
        <v>77</v>
      </c>
      <c r="C64" s="98"/>
      <c r="D64" s="30">
        <v>1.66E-2</v>
      </c>
      <c r="E64" s="57">
        <f t="shared" si="2"/>
        <v>188.01425599999999</v>
      </c>
      <c r="F64" s="32"/>
      <c r="H64" s="38" t="s">
        <v>78</v>
      </c>
      <c r="I64" s="39">
        <v>5.96</v>
      </c>
      <c r="J64" s="11"/>
      <c r="K64" s="11"/>
      <c r="L64" s="11"/>
      <c r="M64" s="78"/>
      <c r="N64" s="11"/>
      <c r="O64" s="11"/>
      <c r="P64" s="11"/>
    </row>
    <row r="65" spans="1:16" ht="14.25" customHeight="1" x14ac:dyDescent="0.3">
      <c r="A65" s="2" t="s">
        <v>32</v>
      </c>
      <c r="B65" s="101" t="s">
        <v>79</v>
      </c>
      <c r="C65" s="98"/>
      <c r="D65" s="30">
        <v>2.0000000000000001E-4</v>
      </c>
      <c r="E65" s="57">
        <f t="shared" si="2"/>
        <v>2.2652320000000001</v>
      </c>
      <c r="F65" s="32"/>
      <c r="H65" s="38" t="s">
        <v>80</v>
      </c>
      <c r="I65" s="42">
        <v>1.4999999999999999E-2</v>
      </c>
      <c r="J65" s="11"/>
      <c r="K65" s="11"/>
      <c r="L65" s="11"/>
      <c r="M65" s="11"/>
      <c r="N65" s="11"/>
      <c r="O65" s="11"/>
      <c r="P65" s="11"/>
    </row>
    <row r="66" spans="1:16" ht="14.25" customHeight="1" x14ac:dyDescent="0.3">
      <c r="A66" s="2" t="s">
        <v>34</v>
      </c>
      <c r="B66" s="101" t="s">
        <v>81</v>
      </c>
      <c r="C66" s="98"/>
      <c r="D66" s="30">
        <v>2.7000000000000001E-3</v>
      </c>
      <c r="E66" s="57">
        <f t="shared" si="2"/>
        <v>30.580632000000001</v>
      </c>
      <c r="F66" s="32"/>
      <c r="H66" s="38" t="s">
        <v>82</v>
      </c>
      <c r="I66" s="42">
        <v>1.8599999999999998E-2</v>
      </c>
      <c r="J66" s="11"/>
      <c r="K66" s="11"/>
      <c r="L66" s="11"/>
      <c r="M66" s="11"/>
      <c r="N66" s="78"/>
      <c r="O66" s="11"/>
      <c r="P66" s="11"/>
    </row>
    <row r="67" spans="1:16" ht="14.25" customHeight="1" x14ac:dyDescent="0.3">
      <c r="A67" s="2" t="s">
        <v>36</v>
      </c>
      <c r="B67" s="101" t="s">
        <v>83</v>
      </c>
      <c r="C67" s="98"/>
      <c r="D67" s="30">
        <v>2.8E-3</v>
      </c>
      <c r="E67" s="57">
        <f t="shared" si="2"/>
        <v>31.713248</v>
      </c>
      <c r="F67" s="32"/>
      <c r="H67" s="245" t="s">
        <v>84</v>
      </c>
      <c r="I67" s="247">
        <v>0.02</v>
      </c>
      <c r="J67" s="11"/>
      <c r="K67" s="105"/>
      <c r="L67" s="11"/>
      <c r="M67" s="11"/>
      <c r="N67" s="11"/>
      <c r="O67" s="11"/>
      <c r="P67" s="11"/>
    </row>
    <row r="68" spans="1:16" ht="14.25" customHeight="1" x14ac:dyDescent="0.3">
      <c r="A68" s="2" t="s">
        <v>38</v>
      </c>
      <c r="B68" s="101" t="s">
        <v>20</v>
      </c>
      <c r="C68" s="98"/>
      <c r="D68" s="30">
        <v>0</v>
      </c>
      <c r="E68" s="57">
        <f t="shared" si="2"/>
        <v>0</v>
      </c>
      <c r="F68" s="32"/>
      <c r="H68" s="245"/>
      <c r="I68" s="247"/>
      <c r="J68" s="11"/>
      <c r="K68" s="11"/>
      <c r="L68" s="11"/>
      <c r="M68" s="11"/>
      <c r="N68" s="11"/>
      <c r="O68" s="11"/>
      <c r="P68" s="11"/>
    </row>
    <row r="69" spans="1:16" ht="14.25" customHeight="1" x14ac:dyDescent="0.3">
      <c r="B69" s="102" t="s">
        <v>164</v>
      </c>
      <c r="C69" s="96"/>
      <c r="D69" s="100">
        <v>0.1056</v>
      </c>
      <c r="E69" s="99">
        <f>SUM(E63:E68)</f>
        <v>357.906656</v>
      </c>
      <c r="F69" s="32"/>
      <c r="H69" s="92"/>
      <c r="I69" s="42"/>
      <c r="J69" s="11"/>
      <c r="K69" s="11"/>
      <c r="L69" s="11"/>
      <c r="M69" s="11"/>
      <c r="N69" s="11"/>
      <c r="O69" s="11"/>
      <c r="P69" s="11"/>
    </row>
    <row r="70" spans="1:16" ht="14.25" customHeight="1" x14ac:dyDescent="0.3">
      <c r="B70" s="201" t="s">
        <v>165</v>
      </c>
      <c r="C70" s="202"/>
      <c r="D70" s="203"/>
      <c r="E70" s="57">
        <f>D43*E69</f>
        <v>70.866376863974395</v>
      </c>
      <c r="F70" s="32"/>
      <c r="H70" s="92"/>
      <c r="I70" s="42"/>
      <c r="J70" s="11"/>
      <c r="K70" s="11"/>
      <c r="L70" s="11"/>
      <c r="M70" s="11"/>
      <c r="N70" s="11"/>
      <c r="O70" s="11"/>
      <c r="P70" s="11"/>
    </row>
    <row r="71" spans="1:16" ht="14.25" customHeight="1" thickBot="1" x14ac:dyDescent="0.35">
      <c r="B71" s="210" t="s">
        <v>86</v>
      </c>
      <c r="C71" s="211"/>
      <c r="D71" s="211"/>
      <c r="E71" s="103">
        <f>SUM(E69:E70)</f>
        <v>428.77303286397438</v>
      </c>
      <c r="F71" s="29"/>
      <c r="H71" s="43"/>
      <c r="I71" s="11"/>
      <c r="J71" s="11"/>
      <c r="K71" s="11"/>
      <c r="L71" s="11"/>
      <c r="M71" s="11"/>
      <c r="N71" s="11"/>
      <c r="O71" s="11"/>
      <c r="P71" s="11"/>
    </row>
    <row r="72" spans="1:16" ht="12.75" customHeight="1" thickBot="1" x14ac:dyDescent="0.35">
      <c r="H72" s="43"/>
      <c r="I72" s="11"/>
      <c r="J72" s="11"/>
      <c r="K72" s="11"/>
      <c r="L72" s="11"/>
      <c r="M72" s="11"/>
      <c r="N72" s="11"/>
      <c r="O72" s="11"/>
      <c r="P72" s="11"/>
    </row>
    <row r="73" spans="1:16" ht="14.25" customHeight="1" thickBot="1" x14ac:dyDescent="0.35">
      <c r="B73" s="194" t="s">
        <v>61</v>
      </c>
      <c r="C73" s="195"/>
      <c r="D73" s="195"/>
      <c r="E73" s="196"/>
      <c r="F73" s="20"/>
      <c r="H73" s="34"/>
      <c r="I73" s="11"/>
      <c r="J73" s="11"/>
      <c r="K73" s="11"/>
      <c r="L73" s="11"/>
      <c r="M73" s="11"/>
      <c r="N73" s="11"/>
      <c r="O73" s="11"/>
      <c r="P73" s="11"/>
    </row>
    <row r="74" spans="1:16" ht="14.25" customHeight="1" x14ac:dyDescent="0.3">
      <c r="A74" s="2" t="s">
        <v>24</v>
      </c>
      <c r="B74" s="201" t="s">
        <v>104</v>
      </c>
      <c r="C74" s="202"/>
      <c r="D74" s="203"/>
      <c r="E74" s="57">
        <v>50</v>
      </c>
      <c r="F74" s="24"/>
      <c r="H74" s="11"/>
      <c r="I74" s="11"/>
      <c r="J74" s="11"/>
      <c r="K74" s="11"/>
      <c r="L74" s="11"/>
      <c r="M74" s="11"/>
      <c r="N74" s="11"/>
      <c r="O74" s="11"/>
      <c r="P74" s="11"/>
    </row>
    <row r="75" spans="1:16" ht="14.25" customHeight="1" x14ac:dyDescent="0.3">
      <c r="A75" s="2" t="s">
        <v>26</v>
      </c>
      <c r="B75" s="25" t="s">
        <v>96</v>
      </c>
      <c r="C75" s="26"/>
      <c r="D75" s="44"/>
      <c r="E75" s="57">
        <v>0</v>
      </c>
      <c r="F75" s="24"/>
      <c r="H75" s="11"/>
      <c r="I75" s="11"/>
      <c r="J75" s="11"/>
      <c r="K75" s="11"/>
      <c r="L75" s="11"/>
      <c r="M75" s="11"/>
      <c r="N75" s="11"/>
      <c r="O75" s="11"/>
      <c r="P75" s="11"/>
    </row>
    <row r="76" spans="1:16" ht="14.25" customHeight="1" x14ac:dyDescent="0.3">
      <c r="A76" s="2" t="s">
        <v>32</v>
      </c>
      <c r="B76" s="25" t="s">
        <v>62</v>
      </c>
      <c r="C76" s="26"/>
      <c r="D76" s="44"/>
      <c r="E76" s="57">
        <v>90</v>
      </c>
      <c r="F76" s="24"/>
      <c r="H76" s="11"/>
      <c r="I76" s="11"/>
      <c r="J76" s="11"/>
      <c r="K76" s="11"/>
      <c r="L76" s="11"/>
      <c r="M76" s="11"/>
      <c r="N76" s="11"/>
      <c r="O76" s="11"/>
      <c r="P76" s="11"/>
    </row>
    <row r="77" spans="1:16" ht="14.25" customHeight="1" x14ac:dyDescent="0.3">
      <c r="B77" s="25" t="s">
        <v>101</v>
      </c>
      <c r="C77" s="26"/>
      <c r="D77" s="44"/>
      <c r="E77" s="57">
        <v>0</v>
      </c>
      <c r="F77" s="24"/>
      <c r="H77" s="11"/>
      <c r="I77" s="11"/>
      <c r="J77" s="11"/>
      <c r="K77" s="11"/>
      <c r="L77" s="11"/>
      <c r="M77" s="11"/>
      <c r="N77" s="11"/>
      <c r="O77" s="11"/>
      <c r="P77" s="11"/>
    </row>
    <row r="78" spans="1:16" ht="14.25" customHeight="1" x14ac:dyDescent="0.3">
      <c r="B78" s="25" t="s">
        <v>97</v>
      </c>
      <c r="C78" s="26"/>
      <c r="D78" s="44"/>
      <c r="E78" s="57">
        <v>0</v>
      </c>
      <c r="F78" s="24"/>
      <c r="H78" s="11"/>
      <c r="I78" s="11"/>
      <c r="J78" s="11"/>
      <c r="K78" s="11"/>
      <c r="L78" s="11"/>
      <c r="M78" s="11"/>
      <c r="N78" s="11"/>
      <c r="O78" s="11"/>
      <c r="P78" s="11"/>
    </row>
    <row r="79" spans="1:16" ht="14.25" customHeight="1" x14ac:dyDescent="0.3">
      <c r="A79" s="2" t="s">
        <v>34</v>
      </c>
      <c r="B79" s="25" t="s">
        <v>166</v>
      </c>
      <c r="C79" s="26"/>
      <c r="D79" s="44"/>
      <c r="E79" s="57">
        <v>0</v>
      </c>
      <c r="F79" s="24"/>
      <c r="H79" s="11"/>
      <c r="I79" s="11"/>
      <c r="J79" s="11"/>
      <c r="L79" s="11"/>
      <c r="M79" s="11"/>
      <c r="N79" s="11"/>
      <c r="O79" s="11"/>
      <c r="P79" s="11"/>
    </row>
    <row r="80" spans="1:16" ht="14.25" customHeight="1" thickBot="1" x14ac:dyDescent="0.35">
      <c r="B80" s="191" t="s">
        <v>63</v>
      </c>
      <c r="C80" s="192"/>
      <c r="D80" s="193"/>
      <c r="E80" s="28">
        <f>SUM(E74:E79)</f>
        <v>140</v>
      </c>
      <c r="F80" s="29"/>
      <c r="H80" s="11"/>
      <c r="I80" s="11"/>
      <c r="J80" s="11"/>
      <c r="L80" s="11"/>
      <c r="M80" s="11"/>
      <c r="N80" s="11"/>
      <c r="O80" s="11"/>
      <c r="P80" s="11"/>
    </row>
    <row r="81" spans="1:16" ht="14.25" customHeight="1" thickBot="1" x14ac:dyDescent="0.35">
      <c r="H81" s="11"/>
      <c r="I81" s="11"/>
      <c r="J81" s="11"/>
      <c r="L81" s="11"/>
      <c r="M81" s="11"/>
      <c r="N81" s="11"/>
      <c r="O81" s="11"/>
      <c r="P81" s="11"/>
    </row>
    <row r="82" spans="1:16" ht="14.25" customHeight="1" thickBot="1" x14ac:dyDescent="0.35">
      <c r="B82" s="194" t="s">
        <v>64</v>
      </c>
      <c r="C82" s="195"/>
      <c r="D82" s="195"/>
      <c r="E82" s="196"/>
      <c r="F82" s="20"/>
      <c r="H82" s="11"/>
      <c r="I82" s="11"/>
      <c r="J82" s="11"/>
      <c r="L82" s="11"/>
      <c r="M82" s="11"/>
      <c r="N82" s="11"/>
      <c r="O82" s="11"/>
      <c r="P82" s="11"/>
    </row>
    <row r="83" spans="1:16" ht="14.25" customHeight="1" x14ac:dyDescent="0.3">
      <c r="A83" s="2" t="s">
        <v>24</v>
      </c>
      <c r="B83" s="45" t="s">
        <v>65</v>
      </c>
      <c r="C83" s="46"/>
      <c r="D83" s="35">
        <f>'1'!D83</f>
        <v>0</v>
      </c>
      <c r="E83" s="57">
        <f>D83*(E80+E71+E59+E50+E25)</f>
        <v>0</v>
      </c>
      <c r="F83" s="32"/>
      <c r="H83" s="11"/>
      <c r="I83" s="161"/>
      <c r="J83" s="11"/>
      <c r="K83" s="54"/>
      <c r="L83" s="11"/>
      <c r="M83" s="11"/>
      <c r="N83" s="11"/>
      <c r="O83" s="34"/>
      <c r="P83" s="11"/>
    </row>
    <row r="84" spans="1:16" ht="14.25" customHeight="1" x14ac:dyDescent="0.3">
      <c r="A84" s="2" t="s">
        <v>26</v>
      </c>
      <c r="B84" s="21" t="s">
        <v>66</v>
      </c>
      <c r="C84" s="22"/>
      <c r="D84" s="35">
        <f>'1'!D84</f>
        <v>-1.3677647119945452E-2</v>
      </c>
      <c r="E84" s="57">
        <f>D84*(E83+E80+E71+E59+E50+E25)</f>
        <v>-251.96698941882889</v>
      </c>
      <c r="F84" s="32"/>
      <c r="H84" s="34"/>
      <c r="I84" s="34"/>
      <c r="J84" s="11"/>
      <c r="K84" s="162"/>
      <c r="L84" s="11"/>
      <c r="M84" s="11"/>
      <c r="N84" s="11"/>
      <c r="O84" s="11"/>
      <c r="P84" s="11"/>
    </row>
    <row r="85" spans="1:16" ht="14.25" customHeight="1" x14ac:dyDescent="0.3">
      <c r="B85" s="21" t="s">
        <v>67</v>
      </c>
      <c r="C85" s="22"/>
      <c r="D85" s="30">
        <v>6.5000000000000006E-3</v>
      </c>
      <c r="E85" s="57">
        <f>D85*(E84+E83+E80+E71+E59+E50+E25)</f>
        <v>118.10396670347663</v>
      </c>
      <c r="F85" s="32"/>
      <c r="H85" s="34"/>
      <c r="I85" s="34"/>
      <c r="J85" s="11"/>
      <c r="L85" s="11"/>
      <c r="M85" s="11"/>
      <c r="N85" s="11"/>
      <c r="O85" s="34"/>
      <c r="P85" s="11"/>
    </row>
    <row r="86" spans="1:16" ht="14.25" customHeight="1" x14ac:dyDescent="0.3">
      <c r="B86" s="47" t="s">
        <v>68</v>
      </c>
      <c r="C86" s="48"/>
      <c r="D86" s="30">
        <v>0.03</v>
      </c>
      <c r="E86" s="57">
        <f>D86*(E83+E85+E84+E80+E71+E59+E50+E25)</f>
        <v>548.63834994022716</v>
      </c>
      <c r="F86" s="32"/>
      <c r="H86" s="11"/>
      <c r="I86" s="11"/>
      <c r="J86" s="11"/>
      <c r="L86" s="11"/>
      <c r="M86" s="11"/>
      <c r="N86" s="11"/>
      <c r="O86" s="34"/>
      <c r="P86" s="11"/>
    </row>
    <row r="87" spans="1:16" ht="14.25" customHeight="1" x14ac:dyDescent="0.3">
      <c r="B87" s="21" t="s">
        <v>69</v>
      </c>
      <c r="C87" s="22"/>
      <c r="D87" s="35">
        <v>0.05</v>
      </c>
      <c r="E87" s="57">
        <f>D87*(E84+E83+E86+E85+E80+E71+E59+E50+E25)</f>
        <v>941.82916739738994</v>
      </c>
      <c r="F87" s="32"/>
      <c r="H87" s="11"/>
      <c r="I87" s="11"/>
      <c r="J87" s="11"/>
      <c r="L87" s="11"/>
      <c r="M87" s="11"/>
      <c r="N87" s="11"/>
      <c r="O87" s="34"/>
      <c r="P87" s="11"/>
    </row>
    <row r="88" spans="1:16" ht="14.25" customHeight="1" x14ac:dyDescent="0.3">
      <c r="B88" s="25" t="s">
        <v>87</v>
      </c>
      <c r="C88" s="26"/>
      <c r="D88" s="35">
        <v>3.5999999999999997E-2</v>
      </c>
      <c r="E88" s="57">
        <f>D88*(E84+E85+E87+E86+E83+E71+E59+E50+E25)</f>
        <v>706.98285055242673</v>
      </c>
      <c r="F88" s="32"/>
      <c r="H88" s="11"/>
      <c r="I88" s="11"/>
      <c r="J88" s="11"/>
      <c r="L88" s="11"/>
      <c r="M88" s="11"/>
      <c r="N88" s="11"/>
      <c r="O88" s="34"/>
      <c r="P88" s="11"/>
    </row>
    <row r="89" spans="1:16" ht="14.25" customHeight="1" thickBot="1" x14ac:dyDescent="0.35">
      <c r="B89" s="191" t="s">
        <v>70</v>
      </c>
      <c r="C89" s="192"/>
      <c r="D89" s="193"/>
      <c r="E89" s="49">
        <f>SUM(E83:E88)</f>
        <v>2063.5873451746916</v>
      </c>
      <c r="F89" s="29"/>
      <c r="H89" s="11"/>
      <c r="I89" s="11"/>
      <c r="J89" s="11"/>
      <c r="L89" s="11"/>
      <c r="M89" s="11"/>
      <c r="N89" s="11"/>
      <c r="O89" s="34"/>
      <c r="P89" s="11"/>
    </row>
    <row r="90" spans="1:16" ht="14.25" customHeight="1" thickBot="1" x14ac:dyDescent="0.35">
      <c r="H90" s="11"/>
      <c r="I90" s="11"/>
      <c r="L90" s="11"/>
      <c r="M90" s="11"/>
      <c r="N90" s="11"/>
      <c r="O90" s="11"/>
      <c r="P90" s="11"/>
    </row>
    <row r="91" spans="1:16" ht="14.25" customHeight="1" thickBot="1" x14ac:dyDescent="0.35">
      <c r="B91" s="197" t="s">
        <v>71</v>
      </c>
      <c r="C91" s="198"/>
      <c r="D91" s="198"/>
      <c r="E91" s="50">
        <f>SUM(E89+E80+E71+E59+E50+E25)</f>
        <v>20485.395365897617</v>
      </c>
      <c r="F91" s="29"/>
      <c r="H91" s="54"/>
      <c r="J91" s="11"/>
      <c r="L91" s="11"/>
      <c r="M91" s="11"/>
      <c r="N91" s="11"/>
      <c r="O91" s="11"/>
      <c r="P91" s="11"/>
    </row>
    <row r="92" spans="1:16" ht="14.25" customHeight="1" thickBot="1" x14ac:dyDescent="0.35">
      <c r="H92" s="11"/>
      <c r="I92" s="11"/>
    </row>
    <row r="93" spans="1:16" ht="14.25" customHeight="1" thickBot="1" x14ac:dyDescent="0.35">
      <c r="B93" s="199" t="s">
        <v>72</v>
      </c>
      <c r="C93" s="200"/>
      <c r="D93" s="200"/>
      <c r="E93" s="51">
        <f>E91*E13</f>
        <v>245824.7443907714</v>
      </c>
      <c r="F93" s="29"/>
      <c r="H93" s="54"/>
    </row>
    <row r="94" spans="1:16" ht="14.25" customHeight="1" x14ac:dyDescent="0.3">
      <c r="B94" s="10"/>
      <c r="C94" s="10"/>
      <c r="D94" s="52"/>
      <c r="E94" s="9"/>
      <c r="F94" s="53"/>
      <c r="G94" s="53"/>
      <c r="H94" s="53"/>
    </row>
    <row r="95" spans="1:16" ht="14.25" customHeight="1" x14ac:dyDescent="0.3">
      <c r="M95" s="54"/>
    </row>
  </sheetData>
  <mergeCells count="49">
    <mergeCell ref="B93:D93"/>
    <mergeCell ref="B73:E73"/>
    <mergeCell ref="B74:D74"/>
    <mergeCell ref="B80:D80"/>
    <mergeCell ref="B82:E82"/>
    <mergeCell ref="B89:D89"/>
    <mergeCell ref="B91:D91"/>
    <mergeCell ref="B71:D71"/>
    <mergeCell ref="H53:H54"/>
    <mergeCell ref="I53:I54"/>
    <mergeCell ref="H55:H57"/>
    <mergeCell ref="I55:I57"/>
    <mergeCell ref="B59:D59"/>
    <mergeCell ref="B61:E61"/>
    <mergeCell ref="B62:E62"/>
    <mergeCell ref="B63:C63"/>
    <mergeCell ref="H67:H68"/>
    <mergeCell ref="I67:I68"/>
    <mergeCell ref="B70:D70"/>
    <mergeCell ref="B52:E52"/>
    <mergeCell ref="B28:E28"/>
    <mergeCell ref="B34:E34"/>
    <mergeCell ref="H42:H44"/>
    <mergeCell ref="I42:I44"/>
    <mergeCell ref="B43:C43"/>
    <mergeCell ref="B44:E44"/>
    <mergeCell ref="B45:D45"/>
    <mergeCell ref="B46:D46"/>
    <mergeCell ref="B48:D48"/>
    <mergeCell ref="B49:D49"/>
    <mergeCell ref="B50:D50"/>
    <mergeCell ref="B27:E27"/>
    <mergeCell ref="B10:E10"/>
    <mergeCell ref="B11:C11"/>
    <mergeCell ref="B12:D12"/>
    <mergeCell ref="B13:C13"/>
    <mergeCell ref="B15:E15"/>
    <mergeCell ref="C16:D16"/>
    <mergeCell ref="C17:D17"/>
    <mergeCell ref="C18:D18"/>
    <mergeCell ref="C19:D19"/>
    <mergeCell ref="B21:E21"/>
    <mergeCell ref="B25:D25"/>
    <mergeCell ref="B8:D8"/>
    <mergeCell ref="B2:E2"/>
    <mergeCell ref="B4:E4"/>
    <mergeCell ref="B5:D5"/>
    <mergeCell ref="B6:D6"/>
    <mergeCell ref="B7:D7"/>
  </mergeCells>
  <dataValidations count="10">
    <dataValidation allowBlank="1" showInputMessage="1" showErrorMessage="1" errorTitle="Valor inválido" error="Mínimo aceito = 2%_x000a_Máximo aceito = 5%" sqref="D88" xr:uid="{BBE0E3AB-F96E-4DDA-93E7-8B5FAA4E5BB1}"/>
    <dataValidation operator="lessThanOrEqual" showInputMessage="1" errorTitle="Valor inválido" error="Máximo aceito = 5%" sqref="D83" xr:uid="{F999AC08-00F3-4846-9609-B3EB2204DB99}"/>
    <dataValidation type="decimal" allowBlank="1" showInputMessage="1" showErrorMessage="1" errorTitle="Valor inválido" error="Mínimo aceito = 2%_x000a_Máximo aceito = 5%" sqref="D87" xr:uid="{D35EE5E5-D970-4CB3-A25D-CAF0364C08AE}">
      <formula1>0.02</formula1>
      <formula2>0.05</formula2>
    </dataValidation>
    <dataValidation type="decimal" operator="lessThanOrEqual" allowBlank="1" showInputMessage="1" showErrorMessage="1" errorTitle="Valor inválido" error="Máximo aceito = 6%" sqref="D41 D37" xr:uid="{009007BC-1C40-4E8D-8B46-823A9E2C57FE}">
      <formula1>0.06</formula1>
    </dataValidation>
    <dataValidation type="decimal" operator="lessThanOrEqual" allowBlank="1" showInputMessage="1" showErrorMessage="1" errorTitle="Valor inválido" error="Deve ser igual ou inferior a 2,00% (Ref.: IBGE)" sqref="I67" xr:uid="{2CD26B7C-34F0-45C5-A55F-ECFE0A5811E5}">
      <formula1>0.02</formula1>
    </dataValidation>
    <dataValidation type="decimal" operator="lessThanOrEqual" allowBlank="1" showInputMessage="1" showErrorMessage="1" errorTitle="Valor inválido" error="Deve ser igual ou inferior a 8,00% (Ref.: IBGE)" sqref="I66" xr:uid="{209F8299-9E35-455B-923F-C70EC5D15502}">
      <formula1>0.08</formula1>
    </dataValidation>
    <dataValidation type="decimal" operator="lessThanOrEqual" allowBlank="1" showInputMessage="1" showErrorMessage="1" errorTitle="Valor inválido" error="Deve ser igual ou inferior a 1,50% (Ref.: IBGE)" sqref="I65" xr:uid="{785CDB8A-C81B-44DC-9AFE-88A573179DA5}">
      <formula1>0.015</formula1>
    </dataValidation>
    <dataValidation type="decimal" operator="lessThanOrEqual" allowBlank="1" showInputMessage="1" showErrorMessage="1" errorTitle="Valor inválido" error="Deve ser igual ou inferior a 5,55 (Ref.: TCU)" sqref="I53" xr:uid="{63C76CF0-3FC3-4559-9A10-A54DCD923FBB}">
      <formula1>0.0555</formula1>
    </dataValidation>
    <dataValidation type="decimal" operator="lessThanOrEqual" allowBlank="1" showInputMessage="1" showErrorMessage="1" errorTitle="Valor inválido" error="Deve ser igual ou inferior a 5,96 (Ref.: IBGE)" sqref="I64" xr:uid="{11EDF9C9-8382-43A0-A835-9D7416B4FE7C}">
      <formula1>5.96</formula1>
    </dataValidation>
    <dataValidation type="list" allowBlank="1" showInputMessage="1" showErrorMessage="1" sqref="H13" xr:uid="{864859FF-4445-46D9-B780-8BC82F01D746}">
      <formula1>$J$2:$J$3</formula1>
    </dataValidation>
  </dataValidations>
  <pageMargins left="0.511811024" right="0.511811024" top="0.78740157499999996" bottom="0.78740157499999996" header="0.31496062000000002" footer="0.31496062000000002"/>
  <pageSetup paperSize="9" scale="56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E6A44-7679-437A-B472-6C7B8547857E}">
  <sheetPr codeName="Planilha13">
    <pageSetUpPr fitToPage="1"/>
  </sheetPr>
  <dimension ref="A1:Q95"/>
  <sheetViews>
    <sheetView topLeftCell="A49" zoomScaleNormal="100" workbookViewId="0">
      <selection activeCell="D64" sqref="D64"/>
    </sheetView>
  </sheetViews>
  <sheetFormatPr defaultColWidth="9.109375" defaultRowHeight="11.4" x14ac:dyDescent="0.3"/>
  <cols>
    <col min="1" max="1" width="1.6640625" style="2" customWidth="1"/>
    <col min="2" max="2" width="13.6640625" style="1" customWidth="1"/>
    <col min="3" max="3" width="59.44140625" style="1" customWidth="1"/>
    <col min="4" max="4" width="12.109375" style="1" customWidth="1"/>
    <col min="5" max="5" width="15.44140625" style="1" bestFit="1" customWidth="1"/>
    <col min="6" max="6" width="1.6640625" style="1" customWidth="1"/>
    <col min="7" max="7" width="1.6640625" style="2" customWidth="1"/>
    <col min="8" max="8" width="18.33203125" style="2" customWidth="1"/>
    <col min="9" max="9" width="11.6640625" style="2" bestFit="1" customWidth="1"/>
    <col min="10" max="10" width="9.109375" style="2" customWidth="1"/>
    <col min="11" max="11" width="27.109375" style="2" customWidth="1"/>
    <col min="12" max="12" width="9.109375" style="2" customWidth="1"/>
    <col min="13" max="13" width="18.5546875" style="2" customWidth="1"/>
    <col min="14" max="14" width="13.109375" style="2" customWidth="1"/>
    <col min="15" max="19" width="9.109375" style="2" customWidth="1"/>
    <col min="20" max="16384" width="9.109375" style="2"/>
  </cols>
  <sheetData>
    <row r="1" spans="2:16" ht="14.25" customHeight="1" thickBot="1" x14ac:dyDescent="0.35"/>
    <row r="2" spans="2:16" s="1" customFormat="1" ht="22.5" customHeight="1" thickBot="1" x14ac:dyDescent="0.35">
      <c r="B2" s="239" t="s">
        <v>73</v>
      </c>
      <c r="C2" s="240"/>
      <c r="D2" s="240"/>
      <c r="E2" s="241"/>
      <c r="G2" s="3"/>
      <c r="J2" s="3"/>
    </row>
    <row r="3" spans="2:16" ht="14.25" customHeight="1" thickBot="1" x14ac:dyDescent="0.35">
      <c r="J3" s="3"/>
    </row>
    <row r="4" spans="2:16" ht="14.25" customHeight="1" x14ac:dyDescent="0.3">
      <c r="B4" s="218" t="s">
        <v>2</v>
      </c>
      <c r="C4" s="219"/>
      <c r="D4" s="219"/>
      <c r="E4" s="220"/>
      <c r="J4" s="3"/>
    </row>
    <row r="5" spans="2:16" ht="14.25" customHeight="1" x14ac:dyDescent="0.3">
      <c r="B5" s="242" t="s">
        <v>3</v>
      </c>
      <c r="C5" s="243"/>
      <c r="D5" s="244"/>
      <c r="E5" s="4"/>
      <c r="J5" s="3"/>
    </row>
    <row r="6" spans="2:16" ht="14.25" customHeight="1" x14ac:dyDescent="0.3">
      <c r="B6" s="201" t="s">
        <v>4</v>
      </c>
      <c r="C6" s="202"/>
      <c r="D6" s="203"/>
      <c r="E6" s="5" t="s">
        <v>5</v>
      </c>
      <c r="J6" s="3"/>
    </row>
    <row r="7" spans="2:16" ht="14.25" customHeight="1" x14ac:dyDescent="0.3">
      <c r="B7" s="201" t="s">
        <v>6</v>
      </c>
      <c r="C7" s="202"/>
      <c r="D7" s="203"/>
      <c r="E7" s="5" t="s">
        <v>148</v>
      </c>
      <c r="J7" s="3"/>
    </row>
    <row r="8" spans="2:16" ht="14.25" customHeight="1" thickBot="1" x14ac:dyDescent="0.35">
      <c r="B8" s="236" t="s">
        <v>7</v>
      </c>
      <c r="C8" s="237"/>
      <c r="D8" s="238"/>
      <c r="E8" s="6">
        <v>12</v>
      </c>
      <c r="J8" s="3"/>
    </row>
    <row r="9" spans="2:16" ht="14.25" customHeight="1" thickBot="1" x14ac:dyDescent="0.35">
      <c r="J9" s="3"/>
    </row>
    <row r="10" spans="2:16" ht="14.25" customHeight="1" thickBot="1" x14ac:dyDescent="0.35">
      <c r="B10" s="218" t="s">
        <v>8</v>
      </c>
      <c r="C10" s="219"/>
      <c r="D10" s="219"/>
      <c r="E10" s="220"/>
      <c r="J10" s="3"/>
    </row>
    <row r="11" spans="2:16" s="10" customFormat="1" ht="33" customHeight="1" x14ac:dyDescent="0.3">
      <c r="B11" s="221" t="s">
        <v>9</v>
      </c>
      <c r="C11" s="222"/>
      <c r="D11" s="7" t="s">
        <v>10</v>
      </c>
      <c r="E11" s="8" t="s">
        <v>11</v>
      </c>
      <c r="F11" s="9"/>
      <c r="I11" s="11"/>
      <c r="J11" s="11"/>
      <c r="K11" s="11"/>
      <c r="L11" s="11"/>
      <c r="M11" s="11">
        <f>'1'!E91</f>
        <v>23924.14823739705</v>
      </c>
      <c r="N11" s="11"/>
      <c r="O11" s="11"/>
      <c r="P11" s="11"/>
    </row>
    <row r="12" spans="2:16" s="10" customFormat="1" ht="12" x14ac:dyDescent="0.3">
      <c r="B12" s="234" t="s">
        <v>91</v>
      </c>
      <c r="C12" s="235"/>
      <c r="D12" s="235"/>
      <c r="E12" s="61" t="s">
        <v>108</v>
      </c>
      <c r="F12" s="9"/>
      <c r="I12" s="11"/>
      <c r="J12" s="11"/>
      <c r="K12" s="11"/>
      <c r="L12" s="11"/>
      <c r="M12" s="11"/>
      <c r="N12" s="11"/>
      <c r="O12" s="11"/>
      <c r="P12" s="11"/>
    </row>
    <row r="13" spans="2:16" ht="14.25" customHeight="1" thickBot="1" x14ac:dyDescent="0.35">
      <c r="B13" s="223" t="s">
        <v>226</v>
      </c>
      <c r="C13" s="224"/>
      <c r="D13" s="12" t="s">
        <v>12</v>
      </c>
      <c r="E13" s="13">
        <v>1</v>
      </c>
      <c r="F13" s="14"/>
      <c r="H13" s="15"/>
      <c r="I13" s="11"/>
      <c r="J13" s="11"/>
      <c r="K13" s="11"/>
      <c r="L13" s="11"/>
      <c r="M13" s="11"/>
      <c r="N13" s="11"/>
      <c r="O13" s="11"/>
      <c r="P13" s="11"/>
    </row>
    <row r="14" spans="2:16" ht="14.25" customHeight="1" thickBot="1" x14ac:dyDescent="0.35">
      <c r="H14" s="11"/>
      <c r="I14" s="11"/>
      <c r="J14" s="11"/>
      <c r="K14" s="11"/>
      <c r="L14" s="11"/>
      <c r="M14" s="11"/>
      <c r="N14" s="11"/>
      <c r="O14" s="11"/>
      <c r="P14" s="11"/>
    </row>
    <row r="15" spans="2:16" ht="14.25" customHeight="1" x14ac:dyDescent="0.3">
      <c r="B15" s="218" t="s">
        <v>13</v>
      </c>
      <c r="C15" s="219"/>
      <c r="D15" s="219"/>
      <c r="E15" s="220"/>
      <c r="H15" s="11"/>
      <c r="I15" s="11"/>
      <c r="J15" s="11"/>
      <c r="K15" s="11"/>
      <c r="L15" s="11"/>
      <c r="M15" s="11"/>
      <c r="N15" s="11"/>
      <c r="O15" s="11"/>
      <c r="P15" s="11"/>
    </row>
    <row r="16" spans="2:16" ht="14.25" customHeight="1" x14ac:dyDescent="0.3">
      <c r="B16" s="16">
        <v>1</v>
      </c>
      <c r="C16" s="225" t="s">
        <v>14</v>
      </c>
      <c r="D16" s="226"/>
      <c r="E16" s="17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14.25" customHeight="1" x14ac:dyDescent="0.3">
      <c r="B17" s="18">
        <v>2</v>
      </c>
      <c r="C17" s="227" t="s">
        <v>15</v>
      </c>
      <c r="D17" s="228"/>
      <c r="E17" s="17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14.25" customHeight="1" x14ac:dyDescent="0.3">
      <c r="B18" s="18">
        <v>3</v>
      </c>
      <c r="C18" s="227" t="s">
        <v>16</v>
      </c>
      <c r="D18" s="228"/>
      <c r="E18" s="17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14.25" customHeight="1" thickBot="1" x14ac:dyDescent="0.35">
      <c r="B19" s="19">
        <v>4</v>
      </c>
      <c r="C19" s="229" t="s">
        <v>17</v>
      </c>
      <c r="D19" s="230"/>
      <c r="E19" s="55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4.25" customHeight="1" thickBot="1" x14ac:dyDescent="0.35"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4.25" customHeight="1" x14ac:dyDescent="0.3">
      <c r="B21" s="231" t="s">
        <v>18</v>
      </c>
      <c r="C21" s="232"/>
      <c r="D21" s="232"/>
      <c r="E21" s="233"/>
      <c r="F21" s="20"/>
      <c r="H21" s="11"/>
      <c r="I21" s="11"/>
      <c r="J21" s="11"/>
      <c r="K21" s="11"/>
      <c r="L21" s="11"/>
      <c r="M21" s="11">
        <f>'11'!E91</f>
        <v>16655.190792319532</v>
      </c>
      <c r="N21" s="11"/>
      <c r="O21" s="11"/>
      <c r="P21" s="11"/>
    </row>
    <row r="22" spans="1:16" ht="14.25" customHeight="1" x14ac:dyDescent="0.3">
      <c r="B22" s="21" t="s">
        <v>19</v>
      </c>
      <c r="C22" s="22"/>
      <c r="D22" s="23"/>
      <c r="E22" s="17">
        <v>12262.56</v>
      </c>
      <c r="F22" s="24"/>
      <c r="H22" s="34"/>
      <c r="I22" s="34"/>
      <c r="J22" s="11"/>
      <c r="K22" s="11"/>
      <c r="L22" s="11"/>
      <c r="M22" s="11"/>
      <c r="N22" s="11"/>
      <c r="O22" s="11"/>
      <c r="P22" s="11"/>
    </row>
    <row r="23" spans="1:16" ht="14.25" customHeight="1" x14ac:dyDescent="0.3">
      <c r="B23" s="25" t="s">
        <v>74</v>
      </c>
      <c r="C23" s="26"/>
      <c r="D23" s="27"/>
      <c r="E23" s="17"/>
      <c r="F23" s="24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14.25" customHeight="1" x14ac:dyDescent="0.3">
      <c r="B24" s="25" t="s">
        <v>20</v>
      </c>
      <c r="C24" s="26"/>
      <c r="D24" s="27"/>
      <c r="E24" s="17"/>
      <c r="F24" s="24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14.25" customHeight="1" thickBot="1" x14ac:dyDescent="0.35">
      <c r="B25" s="191" t="s">
        <v>21</v>
      </c>
      <c r="C25" s="192"/>
      <c r="D25" s="193"/>
      <c r="E25" s="28">
        <v>12262.56</v>
      </c>
      <c r="F25" s="29"/>
      <c r="H25" s="11"/>
      <c r="I25" s="11"/>
      <c r="J25" s="11"/>
      <c r="K25" s="11"/>
      <c r="L25" s="11"/>
      <c r="M25" s="11"/>
      <c r="N25" s="11"/>
      <c r="O25" s="11"/>
      <c r="P25" s="11"/>
    </row>
    <row r="26" spans="1:16" ht="14.25" customHeight="1" thickBot="1" x14ac:dyDescent="0.35"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14.25" customHeight="1" thickBot="1" x14ac:dyDescent="0.35">
      <c r="B27" s="194" t="s">
        <v>22</v>
      </c>
      <c r="C27" s="195"/>
      <c r="D27" s="195"/>
      <c r="E27" s="196"/>
      <c r="F27" s="20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14.25" customHeight="1" x14ac:dyDescent="0.3">
      <c r="B28" s="212" t="s">
        <v>23</v>
      </c>
      <c r="C28" s="213"/>
      <c r="D28" s="213"/>
      <c r="E28" s="214"/>
      <c r="H28" s="11"/>
      <c r="I28" s="11"/>
      <c r="J28" s="11"/>
      <c r="K28" s="11"/>
      <c r="L28" s="11"/>
      <c r="M28" s="11"/>
      <c r="N28" s="11"/>
      <c r="O28" s="11"/>
      <c r="P28" s="11"/>
    </row>
    <row r="29" spans="1:16" ht="14.25" customHeight="1" x14ac:dyDescent="0.3">
      <c r="A29" s="2" t="s">
        <v>24</v>
      </c>
      <c r="B29" s="21" t="s">
        <v>25</v>
      </c>
      <c r="C29" s="22"/>
      <c r="D29" s="30">
        <v>8.3299999999999999E-2</v>
      </c>
      <c r="E29" s="57">
        <f>D29*E22</f>
        <v>1021.4712479999999</v>
      </c>
      <c r="F29" s="32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14.25" customHeight="1" x14ac:dyDescent="0.3">
      <c r="A30" s="2" t="s">
        <v>26</v>
      </c>
      <c r="B30" s="21" t="s">
        <v>27</v>
      </c>
      <c r="C30" s="22"/>
      <c r="D30" s="30">
        <v>0.121</v>
      </c>
      <c r="E30" s="57">
        <f>D30*E25</f>
        <v>1483.7697599999999</v>
      </c>
      <c r="F30" s="32"/>
      <c r="H30" s="11"/>
      <c r="I30" s="34"/>
      <c r="J30" s="11"/>
      <c r="K30" s="11"/>
      <c r="L30" s="11"/>
      <c r="M30" s="11"/>
      <c r="N30" s="11"/>
      <c r="O30" s="11"/>
      <c r="P30" s="11"/>
    </row>
    <row r="31" spans="1:16" ht="14.25" customHeight="1" thickBot="1" x14ac:dyDescent="0.35">
      <c r="B31" s="93" t="s">
        <v>163</v>
      </c>
      <c r="C31" s="94"/>
      <c r="D31" s="163">
        <f>D29+D30</f>
        <v>0.20429999999999998</v>
      </c>
      <c r="E31" s="33">
        <f>SUM(E29:E30)</f>
        <v>2505.241008</v>
      </c>
      <c r="F31" s="29"/>
      <c r="H31" s="11"/>
      <c r="I31" s="11"/>
      <c r="J31" s="11"/>
      <c r="K31" s="11"/>
      <c r="L31" s="11"/>
      <c r="M31" s="11"/>
      <c r="N31" s="11"/>
      <c r="O31" s="11"/>
      <c r="P31" s="11"/>
    </row>
    <row r="32" spans="1:16" ht="14.25" customHeight="1" x14ac:dyDescent="0.3">
      <c r="B32" s="21" t="s">
        <v>250</v>
      </c>
      <c r="C32" s="22"/>
      <c r="D32" s="95">
        <f>D43*D31</f>
        <v>4.0451890319999996E-2</v>
      </c>
      <c r="E32" s="57">
        <f>D32*E25</f>
        <v>496.04373216241913</v>
      </c>
      <c r="F32" s="29"/>
      <c r="H32" s="11"/>
      <c r="I32" s="11"/>
      <c r="J32" s="11"/>
      <c r="K32" s="11"/>
      <c r="L32" s="11"/>
      <c r="M32" s="11"/>
      <c r="N32" s="11"/>
      <c r="O32" s="11"/>
      <c r="P32" s="11"/>
    </row>
    <row r="33" spans="1:16" ht="14.25" customHeight="1" thickBot="1" x14ac:dyDescent="0.35">
      <c r="B33" s="93" t="s">
        <v>28</v>
      </c>
      <c r="C33" s="94"/>
      <c r="D33" s="97">
        <f>SUM(D31+D32)</f>
        <v>0.24475189031999997</v>
      </c>
      <c r="E33" s="33">
        <f>SUM(E31:E32)</f>
        <v>3001.284740162419</v>
      </c>
      <c r="F33" s="29"/>
      <c r="H33" s="34"/>
      <c r="I33" s="11"/>
      <c r="J33" s="11"/>
      <c r="K33" s="11"/>
      <c r="L33" s="11"/>
      <c r="M33" s="11"/>
      <c r="N33" s="11"/>
      <c r="O33" s="11"/>
      <c r="P33" s="11"/>
    </row>
    <row r="34" spans="1:16" ht="14.25" customHeight="1" x14ac:dyDescent="0.3">
      <c r="B34" s="212" t="s">
        <v>29</v>
      </c>
      <c r="C34" s="213"/>
      <c r="D34" s="213"/>
      <c r="E34" s="214"/>
      <c r="H34" s="11"/>
      <c r="I34" s="11"/>
      <c r="J34" s="11"/>
      <c r="K34" s="11"/>
      <c r="L34" s="11"/>
      <c r="M34" s="11"/>
      <c r="N34" s="11"/>
      <c r="O34" s="11"/>
      <c r="P34" s="11"/>
    </row>
    <row r="35" spans="1:16" ht="14.25" customHeight="1" x14ac:dyDescent="0.3">
      <c r="A35" s="2" t="s">
        <v>24</v>
      </c>
      <c r="B35" s="21" t="s">
        <v>30</v>
      </c>
      <c r="C35" s="22"/>
      <c r="D35" s="30">
        <v>0.05</v>
      </c>
      <c r="E35" s="57">
        <f>D35*E$25</f>
        <v>613.12800000000004</v>
      </c>
      <c r="F35" s="32"/>
      <c r="H35" s="11"/>
      <c r="I35" s="11"/>
      <c r="J35" s="11"/>
      <c r="K35" s="11"/>
      <c r="L35" s="11"/>
      <c r="M35" s="11"/>
      <c r="N35" s="11"/>
      <c r="O35" s="11"/>
      <c r="P35" s="11"/>
    </row>
    <row r="36" spans="1:16" ht="14.25" customHeight="1" x14ac:dyDescent="0.3">
      <c r="A36" s="2" t="s">
        <v>26</v>
      </c>
      <c r="B36" s="21" t="s">
        <v>31</v>
      </c>
      <c r="C36" s="22"/>
      <c r="D36" s="30">
        <v>2.5002400000000001E-2</v>
      </c>
      <c r="E36" s="57">
        <f>ROUND(D36*E$25,2)</f>
        <v>306.58999999999997</v>
      </c>
      <c r="F36" s="32"/>
      <c r="H36" s="34"/>
      <c r="I36" s="11"/>
      <c r="J36" s="11"/>
      <c r="K36" s="11"/>
      <c r="L36" s="11"/>
      <c r="M36" s="11"/>
      <c r="N36" s="11"/>
      <c r="O36" s="11"/>
      <c r="P36" s="11"/>
    </row>
    <row r="37" spans="1:16" ht="14.25" customHeight="1" x14ac:dyDescent="0.3">
      <c r="A37" s="2" t="s">
        <v>32</v>
      </c>
      <c r="B37" s="21" t="s">
        <v>33</v>
      </c>
      <c r="C37" s="22"/>
      <c r="D37" s="35">
        <v>0.01</v>
      </c>
      <c r="E37" s="57">
        <f t="shared" ref="E37:E42" si="0">D37*E$25</f>
        <v>122.62559999999999</v>
      </c>
      <c r="F37" s="32"/>
      <c r="H37" s="11"/>
      <c r="I37" s="11"/>
      <c r="J37" s="11"/>
      <c r="K37" s="11"/>
      <c r="L37" s="11"/>
      <c r="M37" s="11"/>
      <c r="N37" s="11"/>
      <c r="O37" s="11"/>
      <c r="P37" s="11"/>
    </row>
    <row r="38" spans="1:16" ht="14.25" customHeight="1" x14ac:dyDescent="0.3">
      <c r="A38" s="2" t="s">
        <v>34</v>
      </c>
      <c r="B38" s="21" t="s">
        <v>35</v>
      </c>
      <c r="C38" s="22"/>
      <c r="D38" s="30">
        <v>1.4999999999999999E-2</v>
      </c>
      <c r="E38" s="57">
        <f t="shared" si="0"/>
        <v>183.93839999999997</v>
      </c>
      <c r="F38" s="32"/>
      <c r="H38" s="11"/>
      <c r="I38" s="11"/>
      <c r="J38" s="11"/>
      <c r="K38" s="11"/>
      <c r="L38" s="11"/>
      <c r="M38" s="11"/>
      <c r="N38" s="11"/>
      <c r="O38" s="11"/>
      <c r="P38" s="11"/>
    </row>
    <row r="39" spans="1:16" ht="14.25" customHeight="1" x14ac:dyDescent="0.3">
      <c r="A39" s="2" t="s">
        <v>36</v>
      </c>
      <c r="B39" s="21" t="s">
        <v>37</v>
      </c>
      <c r="C39" s="22"/>
      <c r="D39" s="30">
        <v>0.01</v>
      </c>
      <c r="E39" s="57">
        <f t="shared" si="0"/>
        <v>122.62559999999999</v>
      </c>
      <c r="F39" s="32"/>
      <c r="H39" s="11"/>
      <c r="I39" s="11"/>
      <c r="J39" s="11"/>
      <c r="K39" s="11"/>
      <c r="L39" s="11"/>
      <c r="M39" s="11"/>
      <c r="N39" s="11"/>
      <c r="O39" s="11"/>
      <c r="P39" s="11"/>
    </row>
    <row r="40" spans="1:16" ht="14.25" customHeight="1" x14ac:dyDescent="0.3">
      <c r="A40" s="2" t="s">
        <v>38</v>
      </c>
      <c r="B40" s="21" t="s">
        <v>39</v>
      </c>
      <c r="C40" s="22"/>
      <c r="D40" s="30">
        <v>6.0000000000000001E-3</v>
      </c>
      <c r="E40" s="57">
        <f t="shared" si="0"/>
        <v>73.575360000000003</v>
      </c>
      <c r="F40" s="32"/>
      <c r="H40" s="11"/>
      <c r="I40" s="11"/>
      <c r="J40" s="11"/>
      <c r="K40" s="11"/>
      <c r="L40" s="11"/>
      <c r="M40" s="11"/>
      <c r="N40" s="11"/>
      <c r="O40" s="11"/>
      <c r="P40" s="11"/>
    </row>
    <row r="41" spans="1:16" ht="14.25" customHeight="1" x14ac:dyDescent="0.3">
      <c r="A41" s="2" t="s">
        <v>40</v>
      </c>
      <c r="B41" s="21" t="s">
        <v>41</v>
      </c>
      <c r="C41" s="22"/>
      <c r="D41" s="36">
        <v>2E-3</v>
      </c>
      <c r="E41" s="57">
        <f t="shared" si="0"/>
        <v>24.525120000000001</v>
      </c>
      <c r="F41" s="32"/>
      <c r="H41" s="11"/>
      <c r="I41" s="11"/>
      <c r="J41" s="11"/>
      <c r="K41" s="11"/>
      <c r="L41" s="11"/>
      <c r="M41" s="11"/>
      <c r="N41" s="11"/>
      <c r="O41" s="11"/>
      <c r="P41" s="11"/>
    </row>
    <row r="42" spans="1:16" ht="14.25" customHeight="1" x14ac:dyDescent="0.3">
      <c r="A42" s="2" t="s">
        <v>42</v>
      </c>
      <c r="B42" s="21" t="s">
        <v>43</v>
      </c>
      <c r="C42" s="22"/>
      <c r="D42" s="30">
        <v>0.08</v>
      </c>
      <c r="E42" s="57">
        <f t="shared" si="0"/>
        <v>981.00479999999993</v>
      </c>
      <c r="F42" s="32"/>
      <c r="H42" s="245"/>
      <c r="I42" s="246">
        <v>22</v>
      </c>
      <c r="J42" s="11"/>
      <c r="K42" s="11"/>
      <c r="L42" s="11"/>
      <c r="M42" s="11"/>
      <c r="N42" s="11"/>
      <c r="O42" s="11"/>
      <c r="P42" s="11"/>
    </row>
    <row r="43" spans="1:16" ht="14.25" customHeight="1" thickBot="1" x14ac:dyDescent="0.35">
      <c r="B43" s="215" t="s">
        <v>44</v>
      </c>
      <c r="C43" s="216"/>
      <c r="D43" s="37">
        <f>SUM(D35:D42)</f>
        <v>0.1980024</v>
      </c>
      <c r="E43" s="33">
        <f>SUM(E35:E42)</f>
        <v>2428.0128800000002</v>
      </c>
      <c r="F43" s="29"/>
      <c r="H43" s="245"/>
      <c r="I43" s="246"/>
      <c r="J43" s="34">
        <f>E43-H43</f>
        <v>2428.0128800000002</v>
      </c>
      <c r="K43" s="11"/>
      <c r="L43" s="11"/>
      <c r="M43" s="11"/>
      <c r="N43" s="11"/>
      <c r="O43" s="11"/>
      <c r="P43" s="11"/>
    </row>
    <row r="44" spans="1:16" ht="14.25" customHeight="1" x14ac:dyDescent="0.3">
      <c r="B44" s="212" t="s">
        <v>45</v>
      </c>
      <c r="C44" s="213"/>
      <c r="D44" s="213"/>
      <c r="E44" s="214"/>
      <c r="H44" s="245"/>
      <c r="I44" s="246"/>
      <c r="J44" s="11"/>
      <c r="K44" s="11"/>
      <c r="L44" s="11"/>
      <c r="M44" s="11"/>
      <c r="N44" s="11"/>
      <c r="O44" s="11"/>
      <c r="P44" s="11"/>
    </row>
    <row r="45" spans="1:16" ht="14.25" customHeight="1" x14ac:dyDescent="0.3">
      <c r="A45" s="2" t="s">
        <v>24</v>
      </c>
      <c r="B45" s="201" t="s">
        <v>46</v>
      </c>
      <c r="C45" s="202"/>
      <c r="D45" s="203"/>
      <c r="E45" s="57">
        <v>0</v>
      </c>
      <c r="F45" s="32"/>
      <c r="H45" s="38"/>
      <c r="I45" s="39">
        <v>5.5</v>
      </c>
      <c r="J45" s="11"/>
      <c r="K45" s="11"/>
      <c r="L45" s="11"/>
      <c r="M45" s="11"/>
      <c r="N45" s="11"/>
      <c r="O45" s="11"/>
      <c r="P45" s="11"/>
    </row>
    <row r="46" spans="1:16" ht="14.25" customHeight="1" x14ac:dyDescent="0.3">
      <c r="A46" s="2" t="s">
        <v>26</v>
      </c>
      <c r="B46" s="201" t="s">
        <v>47</v>
      </c>
      <c r="C46" s="202"/>
      <c r="D46" s="203"/>
      <c r="E46" s="57">
        <v>589.77599999999995</v>
      </c>
      <c r="F46" s="32"/>
      <c r="H46" s="38"/>
      <c r="I46" s="41"/>
      <c r="J46" s="11"/>
      <c r="K46" s="11"/>
      <c r="L46" s="70"/>
      <c r="M46" s="11"/>
      <c r="N46" s="11"/>
      <c r="O46" s="11"/>
      <c r="P46" s="11"/>
    </row>
    <row r="47" spans="1:16" ht="14.25" customHeight="1" x14ac:dyDescent="0.3">
      <c r="A47" s="2" t="s">
        <v>32</v>
      </c>
      <c r="B47" s="21" t="s">
        <v>48</v>
      </c>
      <c r="C47" s="22"/>
      <c r="D47" s="40"/>
      <c r="E47" s="57">
        <v>165</v>
      </c>
      <c r="F47" s="32"/>
      <c r="H47" s="38"/>
      <c r="I47" s="41"/>
      <c r="J47" s="11"/>
      <c r="K47" s="11"/>
      <c r="L47" s="11"/>
      <c r="M47" s="11"/>
      <c r="N47" s="11"/>
      <c r="O47" s="11"/>
      <c r="P47" s="11"/>
    </row>
    <row r="48" spans="1:16" ht="14.25" customHeight="1" x14ac:dyDescent="0.3">
      <c r="A48" s="2" t="s">
        <v>34</v>
      </c>
      <c r="B48" s="201" t="s">
        <v>20</v>
      </c>
      <c r="C48" s="202"/>
      <c r="D48" s="203"/>
      <c r="E48" s="31"/>
      <c r="F48" s="32"/>
      <c r="H48" s="38"/>
      <c r="I48" s="58"/>
      <c r="J48" s="11"/>
      <c r="K48" s="11"/>
      <c r="L48" s="11"/>
      <c r="M48" s="11"/>
      <c r="N48" s="11"/>
      <c r="O48" s="11"/>
      <c r="P48" s="11"/>
    </row>
    <row r="49" spans="1:17" ht="14.25" customHeight="1" thickBot="1" x14ac:dyDescent="0.35">
      <c r="B49" s="215" t="s">
        <v>49</v>
      </c>
      <c r="C49" s="217"/>
      <c r="D49" s="216">
        <v>0</v>
      </c>
      <c r="E49" s="33">
        <f>SUM(E45:E47)</f>
        <v>754.77599999999995</v>
      </c>
      <c r="F49" s="29"/>
      <c r="H49" s="38"/>
      <c r="I49" s="41"/>
      <c r="J49" s="11"/>
      <c r="K49" s="11"/>
      <c r="L49" s="11"/>
      <c r="M49" s="11"/>
      <c r="N49" s="11"/>
      <c r="O49" s="11"/>
      <c r="P49" s="11"/>
    </row>
    <row r="50" spans="1:17" ht="14.25" customHeight="1" thickBot="1" x14ac:dyDescent="0.35">
      <c r="B50" s="191" t="s">
        <v>50</v>
      </c>
      <c r="C50" s="192"/>
      <c r="D50" s="193"/>
      <c r="E50" s="28">
        <f>E43+E33+E49</f>
        <v>6184.0736201624186</v>
      </c>
      <c r="F50" s="29"/>
      <c r="H50" s="38"/>
      <c r="I50" s="41"/>
      <c r="J50" s="11"/>
      <c r="K50" s="11"/>
      <c r="L50" s="11"/>
      <c r="M50" s="11"/>
      <c r="N50" s="11"/>
      <c r="O50" s="11"/>
      <c r="P50" s="11"/>
    </row>
    <row r="51" spans="1:17" ht="14.25" customHeight="1" thickBot="1" x14ac:dyDescent="0.35">
      <c r="H51" s="38"/>
      <c r="I51" s="41"/>
      <c r="J51" s="11"/>
      <c r="K51" s="11"/>
      <c r="L51" s="11"/>
      <c r="M51" s="11"/>
      <c r="N51" s="11"/>
      <c r="O51" s="11"/>
      <c r="P51" s="11"/>
    </row>
    <row r="52" spans="1:17" ht="14.25" customHeight="1" thickBot="1" x14ac:dyDescent="0.35">
      <c r="B52" s="194" t="s">
        <v>51</v>
      </c>
      <c r="C52" s="195"/>
      <c r="D52" s="195"/>
      <c r="E52" s="196"/>
      <c r="F52" s="20"/>
      <c r="H52" s="38"/>
      <c r="I52" s="41"/>
      <c r="J52" s="11"/>
      <c r="K52" s="11"/>
      <c r="L52" s="11"/>
      <c r="M52" s="11"/>
      <c r="N52" s="11"/>
      <c r="O52" s="11"/>
      <c r="P52" s="11"/>
    </row>
    <row r="53" spans="1:17" ht="14.25" customHeight="1" x14ac:dyDescent="0.3">
      <c r="A53" s="2" t="s">
        <v>24</v>
      </c>
      <c r="B53" s="21" t="s">
        <v>52</v>
      </c>
      <c r="C53" s="21"/>
      <c r="D53" s="30">
        <v>4.2119999999999996E-3</v>
      </c>
      <c r="E53" s="57">
        <f t="shared" ref="E53:E58" si="1">D53*E$25</f>
        <v>51.649902719999993</v>
      </c>
      <c r="F53" s="32"/>
      <c r="H53" s="245" t="s">
        <v>53</v>
      </c>
      <c r="I53" s="247">
        <v>5.5500000000000001E-2</v>
      </c>
      <c r="J53" s="11"/>
      <c r="K53" s="11"/>
      <c r="L53" s="11"/>
      <c r="M53" s="11"/>
      <c r="N53" s="11"/>
      <c r="O53" s="11"/>
      <c r="P53" s="11"/>
    </row>
    <row r="54" spans="1:17" ht="14.25" customHeight="1" x14ac:dyDescent="0.3">
      <c r="A54" s="2" t="s">
        <v>26</v>
      </c>
      <c r="B54" s="21" t="s">
        <v>54</v>
      </c>
      <c r="C54" s="21"/>
      <c r="D54" s="30">
        <v>3.3695999999999997E-4</v>
      </c>
      <c r="E54" s="57">
        <f t="shared" si="1"/>
        <v>4.1319922175999997</v>
      </c>
      <c r="F54" s="32"/>
      <c r="H54" s="245"/>
      <c r="I54" s="247"/>
      <c r="J54" s="11"/>
      <c r="K54" s="11"/>
      <c r="L54" s="11"/>
      <c r="M54" s="11"/>
      <c r="N54" s="11"/>
      <c r="O54" s="11"/>
      <c r="P54" s="11"/>
    </row>
    <row r="55" spans="1:17" ht="14.25" customHeight="1" x14ac:dyDescent="0.3">
      <c r="A55" s="2" t="s">
        <v>32</v>
      </c>
      <c r="B55" s="21" t="s">
        <v>55</v>
      </c>
      <c r="C55" s="21"/>
      <c r="D55" s="30">
        <v>0.02</v>
      </c>
      <c r="E55" s="57">
        <f t="shared" si="1"/>
        <v>245.25119999999998</v>
      </c>
      <c r="F55" s="32"/>
      <c r="H55" s="245" t="s">
        <v>56</v>
      </c>
      <c r="I55" s="246">
        <v>0.9</v>
      </c>
      <c r="J55" s="11"/>
      <c r="K55" s="11"/>
      <c r="L55" s="11"/>
      <c r="M55" s="105"/>
      <c r="N55" s="11"/>
      <c r="O55" s="11"/>
      <c r="P55" s="11"/>
      <c r="Q55" s="104"/>
    </row>
    <row r="56" spans="1:17" ht="14.25" customHeight="1" x14ac:dyDescent="0.3">
      <c r="A56" s="2" t="s">
        <v>34</v>
      </c>
      <c r="B56" s="21" t="s">
        <v>57</v>
      </c>
      <c r="C56" s="21"/>
      <c r="D56" s="30">
        <v>1.9444444444444445E-2</v>
      </c>
      <c r="E56" s="57">
        <f t="shared" si="1"/>
        <v>238.43866666666665</v>
      </c>
      <c r="F56" s="32"/>
      <c r="H56" s="245"/>
      <c r="I56" s="246"/>
      <c r="J56" s="11"/>
      <c r="K56" s="11"/>
      <c r="L56" s="11"/>
      <c r="M56" s="11"/>
      <c r="N56" s="11"/>
      <c r="O56" s="11"/>
      <c r="P56" s="11"/>
    </row>
    <row r="57" spans="1:17" ht="14.25" customHeight="1" x14ac:dyDescent="0.3">
      <c r="A57" s="2" t="s">
        <v>36</v>
      </c>
      <c r="B57" s="21" t="s">
        <v>58</v>
      </c>
      <c r="C57" s="22"/>
      <c r="D57" s="30">
        <v>2.8778244444444445E-3</v>
      </c>
      <c r="E57" s="57">
        <f t="shared" si="1"/>
        <v>35.289494919466669</v>
      </c>
      <c r="F57" s="32"/>
      <c r="H57" s="245"/>
      <c r="I57" s="246"/>
      <c r="J57" s="11"/>
      <c r="K57" s="11"/>
      <c r="L57" s="11"/>
      <c r="M57" s="11"/>
      <c r="N57" s="11"/>
      <c r="O57" s="11"/>
      <c r="P57" s="11"/>
    </row>
    <row r="58" spans="1:17" ht="14.25" customHeight="1" x14ac:dyDescent="0.3">
      <c r="A58" s="2" t="s">
        <v>38</v>
      </c>
      <c r="B58" s="21" t="s">
        <v>59</v>
      </c>
      <c r="C58" s="21"/>
      <c r="D58" s="30">
        <v>0.02</v>
      </c>
      <c r="E58" s="57">
        <f t="shared" si="1"/>
        <v>245.25119999999998</v>
      </c>
      <c r="F58" s="32"/>
      <c r="H58" s="38"/>
      <c r="I58" s="38"/>
      <c r="J58" s="11"/>
      <c r="K58" s="11"/>
      <c r="L58" s="11"/>
      <c r="M58" s="11"/>
      <c r="N58" s="11"/>
      <c r="O58" s="11"/>
      <c r="P58" s="11"/>
    </row>
    <row r="59" spans="1:17" ht="14.25" customHeight="1" thickBot="1" x14ac:dyDescent="0.35">
      <c r="B59" s="191" t="s">
        <v>60</v>
      </c>
      <c r="C59" s="192"/>
      <c r="D59" s="193"/>
      <c r="E59" s="28">
        <f>SUM(E53:E58)</f>
        <v>820.01245652373314</v>
      </c>
      <c r="F59" s="29"/>
      <c r="H59" s="38"/>
      <c r="I59" s="38"/>
      <c r="J59" s="11"/>
      <c r="K59" s="11"/>
      <c r="L59" s="11"/>
      <c r="M59" s="11"/>
      <c r="N59" s="11"/>
      <c r="O59" s="11"/>
      <c r="P59" s="11"/>
    </row>
    <row r="60" spans="1:17" ht="14.25" customHeight="1" thickBot="1" x14ac:dyDescent="0.35">
      <c r="H60" s="38"/>
      <c r="I60" s="38"/>
      <c r="J60" s="11"/>
      <c r="K60" s="11"/>
      <c r="L60" s="11"/>
      <c r="M60" s="11"/>
      <c r="N60" s="11"/>
      <c r="O60" s="11"/>
      <c r="P60" s="11"/>
    </row>
    <row r="61" spans="1:17" ht="14.25" customHeight="1" x14ac:dyDescent="0.3">
      <c r="B61" s="204" t="s">
        <v>75</v>
      </c>
      <c r="C61" s="205"/>
      <c r="D61" s="205"/>
      <c r="E61" s="206"/>
      <c r="F61" s="20"/>
      <c r="H61" s="38"/>
      <c r="I61" s="38"/>
      <c r="J61" s="11"/>
      <c r="K61" s="11"/>
      <c r="L61" s="11"/>
      <c r="M61" s="11"/>
      <c r="N61" s="11"/>
      <c r="O61" s="11"/>
      <c r="P61" s="11"/>
    </row>
    <row r="62" spans="1:17" ht="14.25" customHeight="1" x14ac:dyDescent="0.3">
      <c r="B62" s="207"/>
      <c r="C62" s="208"/>
      <c r="D62" s="208"/>
      <c r="E62" s="209"/>
      <c r="H62" s="11"/>
      <c r="I62" s="11"/>
      <c r="J62" s="11"/>
      <c r="K62" s="11"/>
      <c r="L62" s="11"/>
      <c r="M62" s="11"/>
      <c r="N62" s="11"/>
      <c r="O62" s="11"/>
      <c r="P62" s="11"/>
    </row>
    <row r="63" spans="1:17" ht="14.25" customHeight="1" x14ac:dyDescent="0.3">
      <c r="A63" s="2" t="s">
        <v>24</v>
      </c>
      <c r="B63" s="201" t="s">
        <v>76</v>
      </c>
      <c r="C63" s="203"/>
      <c r="D63" s="30">
        <v>9.2999999999999992E-3</v>
      </c>
      <c r="E63" s="57">
        <f t="shared" ref="E63:E68" si="2">D63*E$25</f>
        <v>114.04180799999999</v>
      </c>
      <c r="F63" s="32"/>
      <c r="H63" s="38"/>
      <c r="I63" s="38"/>
      <c r="J63" s="11"/>
      <c r="K63" s="11"/>
      <c r="L63" s="11"/>
      <c r="M63" s="11"/>
      <c r="N63" s="11"/>
      <c r="O63" s="11"/>
      <c r="P63" s="11"/>
    </row>
    <row r="64" spans="1:17" ht="14.25" customHeight="1" x14ac:dyDescent="0.3">
      <c r="A64" s="2" t="s">
        <v>26</v>
      </c>
      <c r="B64" s="101" t="s">
        <v>77</v>
      </c>
      <c r="C64" s="98"/>
      <c r="D64" s="30">
        <v>1.66E-2</v>
      </c>
      <c r="E64" s="57">
        <f t="shared" si="2"/>
        <v>203.55849599999999</v>
      </c>
      <c r="F64" s="32"/>
      <c r="H64" s="38" t="s">
        <v>78</v>
      </c>
      <c r="I64" s="39">
        <v>5.96</v>
      </c>
      <c r="J64" s="11"/>
      <c r="K64" s="11"/>
      <c r="L64" s="11"/>
      <c r="M64" s="78"/>
      <c r="N64" s="11"/>
      <c r="O64" s="11"/>
      <c r="P64" s="11"/>
    </row>
    <row r="65" spans="1:16" ht="14.25" customHeight="1" x14ac:dyDescent="0.3">
      <c r="A65" s="2" t="s">
        <v>32</v>
      </c>
      <c r="B65" s="101" t="s">
        <v>79</v>
      </c>
      <c r="C65" s="98"/>
      <c r="D65" s="30">
        <v>2.0000000000000001E-4</v>
      </c>
      <c r="E65" s="57">
        <f t="shared" si="2"/>
        <v>2.452512</v>
      </c>
      <c r="F65" s="32"/>
      <c r="H65" s="38" t="s">
        <v>80</v>
      </c>
      <c r="I65" s="42">
        <v>1.4999999999999999E-2</v>
      </c>
      <c r="J65" s="11"/>
      <c r="K65" s="11"/>
      <c r="L65" s="11"/>
      <c r="M65" s="11"/>
      <c r="N65" s="11"/>
      <c r="O65" s="11"/>
      <c r="P65" s="11"/>
    </row>
    <row r="66" spans="1:16" ht="14.25" customHeight="1" x14ac:dyDescent="0.3">
      <c r="A66" s="2" t="s">
        <v>34</v>
      </c>
      <c r="B66" s="101" t="s">
        <v>81</v>
      </c>
      <c r="C66" s="98"/>
      <c r="D66" s="30">
        <v>2.7000000000000001E-3</v>
      </c>
      <c r="E66" s="57">
        <f t="shared" si="2"/>
        <v>33.108912000000004</v>
      </c>
      <c r="F66" s="32"/>
      <c r="H66" s="38" t="s">
        <v>82</v>
      </c>
      <c r="I66" s="42">
        <v>1.8599999999999998E-2</v>
      </c>
      <c r="J66" s="11"/>
      <c r="K66" s="11"/>
      <c r="L66" s="11"/>
      <c r="M66" s="11"/>
      <c r="N66" s="78"/>
      <c r="O66" s="11"/>
      <c r="P66" s="11"/>
    </row>
    <row r="67" spans="1:16" ht="14.25" customHeight="1" x14ac:dyDescent="0.3">
      <c r="A67" s="2" t="s">
        <v>36</v>
      </c>
      <c r="B67" s="101" t="s">
        <v>83</v>
      </c>
      <c r="C67" s="98"/>
      <c r="D67" s="30">
        <v>2.8E-3</v>
      </c>
      <c r="E67" s="57">
        <f t="shared" si="2"/>
        <v>34.335167999999996</v>
      </c>
      <c r="F67" s="32"/>
      <c r="H67" s="245" t="s">
        <v>84</v>
      </c>
      <c r="I67" s="247">
        <v>0.02</v>
      </c>
      <c r="J67" s="11"/>
      <c r="K67" s="105"/>
      <c r="L67" s="11"/>
      <c r="M67" s="11"/>
      <c r="N67" s="11"/>
      <c r="O67" s="11"/>
      <c r="P67" s="11"/>
    </row>
    <row r="68" spans="1:16" ht="14.25" customHeight="1" x14ac:dyDescent="0.3">
      <c r="A68" s="2" t="s">
        <v>38</v>
      </c>
      <c r="B68" s="101" t="s">
        <v>20</v>
      </c>
      <c r="C68" s="98"/>
      <c r="D68" s="30">
        <v>0</v>
      </c>
      <c r="E68" s="57">
        <f t="shared" si="2"/>
        <v>0</v>
      </c>
      <c r="F68" s="32"/>
      <c r="H68" s="245"/>
      <c r="I68" s="247"/>
      <c r="J68" s="11"/>
      <c r="K68" s="11"/>
      <c r="L68" s="11"/>
      <c r="M68" s="11"/>
      <c r="N68" s="11"/>
      <c r="O68" s="11"/>
      <c r="P68" s="11"/>
    </row>
    <row r="69" spans="1:16" ht="14.25" customHeight="1" x14ac:dyDescent="0.3">
      <c r="B69" s="102" t="s">
        <v>164</v>
      </c>
      <c r="C69" s="96"/>
      <c r="D69" s="100">
        <v>0.1056</v>
      </c>
      <c r="E69" s="99">
        <f>SUM(E63:E68)</f>
        <v>387.49689600000005</v>
      </c>
      <c r="F69" s="32"/>
      <c r="H69" s="92"/>
      <c r="I69" s="42"/>
      <c r="J69" s="11"/>
      <c r="K69" s="11"/>
      <c r="L69" s="11"/>
      <c r="M69" s="11"/>
      <c r="N69" s="11"/>
      <c r="O69" s="11"/>
      <c r="P69" s="11"/>
    </row>
    <row r="70" spans="1:16" ht="14.25" customHeight="1" x14ac:dyDescent="0.3">
      <c r="B70" s="201" t="s">
        <v>165</v>
      </c>
      <c r="C70" s="202"/>
      <c r="D70" s="203"/>
      <c r="E70" s="57">
        <f>D43*E69</f>
        <v>76.725315400550414</v>
      </c>
      <c r="F70" s="32"/>
      <c r="H70" s="92"/>
      <c r="I70" s="42"/>
      <c r="J70" s="11"/>
      <c r="K70" s="11"/>
      <c r="L70" s="11"/>
      <c r="M70" s="11"/>
      <c r="N70" s="11"/>
      <c r="O70" s="11"/>
      <c r="P70" s="11"/>
    </row>
    <row r="71" spans="1:16" ht="14.25" customHeight="1" thickBot="1" x14ac:dyDescent="0.35">
      <c r="B71" s="210" t="s">
        <v>86</v>
      </c>
      <c r="C71" s="211"/>
      <c r="D71" s="211"/>
      <c r="E71" s="103">
        <f>SUM(E69:E70)</f>
        <v>464.22221140055046</v>
      </c>
      <c r="F71" s="29"/>
      <c r="H71" s="43"/>
      <c r="I71" s="11"/>
      <c r="J71" s="11"/>
      <c r="K71" s="11"/>
      <c r="L71" s="11"/>
      <c r="M71" s="11"/>
      <c r="N71" s="11"/>
      <c r="O71" s="11"/>
      <c r="P71" s="11"/>
    </row>
    <row r="72" spans="1:16" ht="12.75" customHeight="1" thickBot="1" x14ac:dyDescent="0.35">
      <c r="H72" s="43"/>
      <c r="I72" s="11"/>
      <c r="J72" s="11"/>
      <c r="K72" s="11"/>
      <c r="L72" s="11"/>
      <c r="M72" s="11"/>
      <c r="N72" s="11"/>
      <c r="O72" s="11"/>
      <c r="P72" s="11"/>
    </row>
    <row r="73" spans="1:16" ht="14.25" customHeight="1" thickBot="1" x14ac:dyDescent="0.35">
      <c r="B73" s="194" t="s">
        <v>61</v>
      </c>
      <c r="C73" s="195"/>
      <c r="D73" s="195"/>
      <c r="E73" s="196"/>
      <c r="F73" s="20"/>
      <c r="H73" s="34"/>
      <c r="I73" s="11"/>
      <c r="J73" s="11"/>
      <c r="K73" s="11"/>
      <c r="L73" s="11"/>
      <c r="M73" s="11"/>
      <c r="N73" s="11"/>
      <c r="O73" s="11"/>
      <c r="P73" s="11"/>
    </row>
    <row r="74" spans="1:16" ht="14.25" customHeight="1" x14ac:dyDescent="0.3">
      <c r="A74" s="2" t="s">
        <v>24</v>
      </c>
      <c r="B74" s="201" t="s">
        <v>104</v>
      </c>
      <c r="C74" s="202"/>
      <c r="D74" s="203"/>
      <c r="E74" s="57">
        <v>50</v>
      </c>
      <c r="F74" s="24"/>
      <c r="H74" s="11"/>
      <c r="I74" s="11"/>
      <c r="J74" s="11"/>
      <c r="K74" s="11"/>
      <c r="L74" s="11"/>
      <c r="M74" s="11"/>
      <c r="N74" s="11"/>
      <c r="O74" s="11"/>
      <c r="P74" s="11"/>
    </row>
    <row r="75" spans="1:16" ht="14.25" customHeight="1" x14ac:dyDescent="0.3">
      <c r="A75" s="2" t="s">
        <v>26</v>
      </c>
      <c r="B75" s="25" t="s">
        <v>96</v>
      </c>
      <c r="C75" s="26"/>
      <c r="D75" s="44"/>
      <c r="E75" s="57">
        <v>0</v>
      </c>
      <c r="F75" s="24"/>
      <c r="H75" s="11"/>
      <c r="I75" s="11"/>
      <c r="J75" s="11"/>
      <c r="K75" s="11"/>
      <c r="L75" s="11"/>
      <c r="M75" s="11"/>
      <c r="N75" s="11"/>
      <c r="O75" s="11"/>
      <c r="P75" s="11"/>
    </row>
    <row r="76" spans="1:16" ht="14.25" customHeight="1" x14ac:dyDescent="0.3">
      <c r="A76" s="2" t="s">
        <v>32</v>
      </c>
      <c r="B76" s="25" t="s">
        <v>62</v>
      </c>
      <c r="C76" s="26"/>
      <c r="D76" s="44"/>
      <c r="E76" s="57">
        <v>90</v>
      </c>
      <c r="F76" s="24"/>
      <c r="H76" s="11"/>
      <c r="I76" s="11"/>
      <c r="J76" s="11"/>
      <c r="K76" s="11"/>
      <c r="L76" s="11"/>
      <c r="M76" s="11"/>
      <c r="N76" s="11"/>
      <c r="O76" s="11"/>
      <c r="P76" s="11"/>
    </row>
    <row r="77" spans="1:16" ht="14.25" customHeight="1" x14ac:dyDescent="0.3">
      <c r="B77" s="25" t="s">
        <v>101</v>
      </c>
      <c r="C77" s="26"/>
      <c r="D77" s="44"/>
      <c r="E77" s="57">
        <v>0</v>
      </c>
      <c r="F77" s="24"/>
      <c r="H77" s="11"/>
      <c r="I77" s="11"/>
      <c r="J77" s="11"/>
      <c r="K77" s="11"/>
      <c r="L77" s="11"/>
      <c r="M77" s="11"/>
      <c r="N77" s="11"/>
      <c r="O77" s="11"/>
      <c r="P77" s="11"/>
    </row>
    <row r="78" spans="1:16" ht="14.25" customHeight="1" x14ac:dyDescent="0.3">
      <c r="B78" s="25" t="s">
        <v>97</v>
      </c>
      <c r="C78" s="26"/>
      <c r="D78" s="44"/>
      <c r="E78" s="57">
        <v>0</v>
      </c>
      <c r="F78" s="24"/>
      <c r="H78" s="11"/>
      <c r="I78" s="11"/>
      <c r="J78" s="11"/>
      <c r="K78" s="11"/>
      <c r="L78" s="11"/>
      <c r="M78" s="11"/>
      <c r="N78" s="11"/>
      <c r="O78" s="11"/>
      <c r="P78" s="11"/>
    </row>
    <row r="79" spans="1:16" ht="14.25" customHeight="1" x14ac:dyDescent="0.3">
      <c r="A79" s="2" t="s">
        <v>34</v>
      </c>
      <c r="B79" s="25" t="s">
        <v>166</v>
      </c>
      <c r="C79" s="26"/>
      <c r="D79" s="44"/>
      <c r="E79" s="57">
        <v>0</v>
      </c>
      <c r="F79" s="24"/>
      <c r="H79" s="11"/>
      <c r="I79" s="11"/>
      <c r="J79" s="11"/>
      <c r="L79" s="11"/>
      <c r="M79" s="11"/>
      <c r="N79" s="11"/>
      <c r="O79" s="11"/>
      <c r="P79" s="11"/>
    </row>
    <row r="80" spans="1:16" ht="14.25" customHeight="1" thickBot="1" x14ac:dyDescent="0.35">
      <c r="B80" s="191" t="s">
        <v>63</v>
      </c>
      <c r="C80" s="192"/>
      <c r="D80" s="193"/>
      <c r="E80" s="28">
        <f>SUM(E74:E79)</f>
        <v>140</v>
      </c>
      <c r="F80" s="29"/>
      <c r="H80" s="11"/>
      <c r="I80" s="11"/>
      <c r="J80" s="11"/>
      <c r="L80" s="11"/>
      <c r="M80" s="11"/>
      <c r="N80" s="11"/>
      <c r="O80" s="11"/>
      <c r="P80" s="11"/>
    </row>
    <row r="81" spans="1:16" ht="14.25" customHeight="1" thickBot="1" x14ac:dyDescent="0.35">
      <c r="H81" s="11"/>
      <c r="I81" s="11"/>
      <c r="J81" s="11"/>
      <c r="L81" s="11"/>
      <c r="M81" s="11"/>
      <c r="N81" s="11"/>
      <c r="O81" s="11"/>
      <c r="P81" s="11"/>
    </row>
    <row r="82" spans="1:16" ht="14.25" customHeight="1" thickBot="1" x14ac:dyDescent="0.35">
      <c r="B82" s="194" t="s">
        <v>64</v>
      </c>
      <c r="C82" s="195"/>
      <c r="D82" s="195"/>
      <c r="E82" s="196"/>
      <c r="F82" s="20"/>
      <c r="H82" s="11"/>
      <c r="I82" s="11"/>
      <c r="J82" s="11"/>
      <c r="L82" s="11"/>
      <c r="M82" s="11"/>
      <c r="N82" s="11"/>
      <c r="O82" s="11"/>
      <c r="P82" s="11"/>
    </row>
    <row r="83" spans="1:16" ht="14.25" customHeight="1" x14ac:dyDescent="0.3">
      <c r="A83" s="2" t="s">
        <v>24</v>
      </c>
      <c r="B83" s="45" t="s">
        <v>65</v>
      </c>
      <c r="C83" s="46"/>
      <c r="D83" s="35">
        <f>'1'!D83</f>
        <v>0</v>
      </c>
      <c r="E83" s="57">
        <f>D83*(E80+E71+E59+E50+E25)</f>
        <v>0</v>
      </c>
      <c r="F83" s="32"/>
      <c r="H83" s="11"/>
      <c r="I83" s="161"/>
      <c r="J83" s="11"/>
      <c r="K83" s="54"/>
      <c r="L83" s="11"/>
      <c r="M83" s="11"/>
      <c r="N83" s="11"/>
      <c r="O83" s="34"/>
      <c r="P83" s="11"/>
    </row>
    <row r="84" spans="1:16" ht="14.25" customHeight="1" x14ac:dyDescent="0.3">
      <c r="A84" s="2" t="s">
        <v>26</v>
      </c>
      <c r="B84" s="21" t="s">
        <v>66</v>
      </c>
      <c r="C84" s="22"/>
      <c r="D84" s="35">
        <f>'1'!D84</f>
        <v>-1.3677647119945452E-2</v>
      </c>
      <c r="E84" s="57">
        <f>D84*(E83+E80+E71+E59+E50+E25)</f>
        <v>-271.7867244113645</v>
      </c>
      <c r="F84" s="32"/>
      <c r="H84" s="34"/>
      <c r="I84" s="34"/>
      <c r="J84" s="11"/>
      <c r="K84" s="162"/>
      <c r="L84" s="11"/>
      <c r="M84" s="11"/>
      <c r="N84" s="11"/>
      <c r="O84" s="11"/>
      <c r="P84" s="11"/>
    </row>
    <row r="85" spans="1:16" ht="14.25" customHeight="1" x14ac:dyDescent="0.3">
      <c r="B85" s="21" t="s">
        <v>67</v>
      </c>
      <c r="C85" s="22"/>
      <c r="D85" s="30">
        <v>6.5000000000000006E-3</v>
      </c>
      <c r="E85" s="57">
        <f>D85*(E84+E83+E80+E71+E59+E50+E25)</f>
        <v>127.39403016388972</v>
      </c>
      <c r="F85" s="32"/>
      <c r="H85" s="34"/>
      <c r="I85" s="34"/>
      <c r="J85" s="11"/>
      <c r="L85" s="11"/>
      <c r="M85" s="11"/>
      <c r="N85" s="11"/>
      <c r="O85" s="34"/>
      <c r="P85" s="11"/>
    </row>
    <row r="86" spans="1:16" ht="14.25" customHeight="1" x14ac:dyDescent="0.3">
      <c r="B86" s="47" t="s">
        <v>68</v>
      </c>
      <c r="C86" s="48"/>
      <c r="D86" s="30">
        <v>0.03</v>
      </c>
      <c r="E86" s="57">
        <f>D86*(E83+E85+E84+E80+E71+E59+E50+E25)</f>
        <v>591.7942678151768</v>
      </c>
      <c r="F86" s="32"/>
      <c r="H86" s="11"/>
      <c r="I86" s="11"/>
      <c r="J86" s="11"/>
      <c r="L86" s="11"/>
      <c r="M86" s="11"/>
      <c r="N86" s="11"/>
      <c r="O86" s="34"/>
      <c r="P86" s="11"/>
    </row>
    <row r="87" spans="1:16" ht="14.25" customHeight="1" x14ac:dyDescent="0.3">
      <c r="B87" s="21" t="s">
        <v>69</v>
      </c>
      <c r="C87" s="22"/>
      <c r="D87" s="35">
        <v>0.05</v>
      </c>
      <c r="E87" s="57">
        <f>D87*(E84+E83+E86+E85+E80+E71+E59+E50+E25)</f>
        <v>1015.9134930827203</v>
      </c>
      <c r="F87" s="32"/>
      <c r="H87" s="11"/>
      <c r="I87" s="11"/>
      <c r="J87" s="11"/>
      <c r="L87" s="11"/>
      <c r="M87" s="11"/>
      <c r="N87" s="11"/>
      <c r="O87" s="34"/>
      <c r="P87" s="11"/>
    </row>
    <row r="88" spans="1:16" ht="14.25" customHeight="1" x14ac:dyDescent="0.3">
      <c r="B88" s="25" t="s">
        <v>87</v>
      </c>
      <c r="C88" s="26"/>
      <c r="D88" s="35">
        <v>3.5999999999999997E-2</v>
      </c>
      <c r="E88" s="57">
        <f>D88*(E84+E85+E87+E86+E83+E71+E59+E50+E25)</f>
        <v>762.99060077053639</v>
      </c>
      <c r="F88" s="32"/>
      <c r="H88" s="11"/>
      <c r="I88" s="11"/>
      <c r="J88" s="11"/>
      <c r="L88" s="11"/>
      <c r="M88" s="11"/>
      <c r="N88" s="11"/>
      <c r="O88" s="34"/>
      <c r="P88" s="11"/>
    </row>
    <row r="89" spans="1:16" ht="14.25" customHeight="1" thickBot="1" x14ac:dyDescent="0.35">
      <c r="B89" s="191" t="s">
        <v>70</v>
      </c>
      <c r="C89" s="192"/>
      <c r="D89" s="193"/>
      <c r="E89" s="49">
        <f>SUM(E83:E88)</f>
        <v>2226.3056674209588</v>
      </c>
      <c r="F89" s="29"/>
      <c r="H89" s="11"/>
      <c r="I89" s="11"/>
      <c r="J89" s="11"/>
      <c r="L89" s="11"/>
      <c r="M89" s="11"/>
      <c r="N89" s="11"/>
      <c r="O89" s="34"/>
      <c r="P89" s="11"/>
    </row>
    <row r="90" spans="1:16" ht="14.25" customHeight="1" thickBot="1" x14ac:dyDescent="0.35">
      <c r="H90" s="11"/>
      <c r="I90" s="11"/>
      <c r="L90" s="11"/>
      <c r="M90" s="11"/>
      <c r="N90" s="11"/>
      <c r="O90" s="11"/>
      <c r="P90" s="11"/>
    </row>
    <row r="91" spans="1:16" ht="14.25" customHeight="1" thickBot="1" x14ac:dyDescent="0.35">
      <c r="B91" s="197" t="s">
        <v>71</v>
      </c>
      <c r="C91" s="198"/>
      <c r="D91" s="198"/>
      <c r="E91" s="50">
        <f>SUM(E89+E80+E71+E59+E50+E25)</f>
        <v>22097.17395550766</v>
      </c>
      <c r="F91" s="29"/>
      <c r="H91" s="54"/>
      <c r="J91" s="11"/>
      <c r="L91" s="11"/>
      <c r="M91" s="11"/>
      <c r="N91" s="11"/>
      <c r="O91" s="11"/>
      <c r="P91" s="11"/>
    </row>
    <row r="92" spans="1:16" ht="14.25" customHeight="1" thickBot="1" x14ac:dyDescent="0.35">
      <c r="H92" s="11"/>
      <c r="I92" s="11"/>
    </row>
    <row r="93" spans="1:16" ht="14.25" customHeight="1" thickBot="1" x14ac:dyDescent="0.35">
      <c r="B93" s="199" t="s">
        <v>72</v>
      </c>
      <c r="C93" s="200"/>
      <c r="D93" s="200"/>
      <c r="E93" s="51">
        <f>E91*E13</f>
        <v>22097.17395550766</v>
      </c>
      <c r="F93" s="29"/>
      <c r="H93" s="54"/>
    </row>
    <row r="94" spans="1:16" ht="14.25" customHeight="1" x14ac:dyDescent="0.3">
      <c r="B94" s="10"/>
      <c r="C94" s="10"/>
      <c r="D94" s="52"/>
      <c r="E94" s="9"/>
      <c r="F94" s="53"/>
      <c r="G94" s="53"/>
      <c r="H94" s="53"/>
    </row>
    <row r="95" spans="1:16" ht="14.25" customHeight="1" x14ac:dyDescent="0.3">
      <c r="M95" s="54"/>
    </row>
  </sheetData>
  <mergeCells count="49">
    <mergeCell ref="B93:D93"/>
    <mergeCell ref="B73:E73"/>
    <mergeCell ref="B74:D74"/>
    <mergeCell ref="B80:D80"/>
    <mergeCell ref="B82:E82"/>
    <mergeCell ref="B89:D89"/>
    <mergeCell ref="B91:D91"/>
    <mergeCell ref="B71:D71"/>
    <mergeCell ref="H53:H54"/>
    <mergeCell ref="I53:I54"/>
    <mergeCell ref="H55:H57"/>
    <mergeCell ref="I55:I57"/>
    <mergeCell ref="B59:D59"/>
    <mergeCell ref="B61:E61"/>
    <mergeCell ref="B62:E62"/>
    <mergeCell ref="B63:C63"/>
    <mergeCell ref="H67:H68"/>
    <mergeCell ref="I67:I68"/>
    <mergeCell ref="B70:D70"/>
    <mergeCell ref="B52:E52"/>
    <mergeCell ref="B28:E28"/>
    <mergeCell ref="B34:E34"/>
    <mergeCell ref="H42:H44"/>
    <mergeCell ref="I42:I44"/>
    <mergeCell ref="B43:C43"/>
    <mergeCell ref="B44:E44"/>
    <mergeCell ref="B45:D45"/>
    <mergeCell ref="B46:D46"/>
    <mergeCell ref="B48:D48"/>
    <mergeCell ref="B49:D49"/>
    <mergeCell ref="B50:D50"/>
    <mergeCell ref="B27:E27"/>
    <mergeCell ref="B10:E10"/>
    <mergeCell ref="B11:C11"/>
    <mergeCell ref="B12:D12"/>
    <mergeCell ref="B13:C13"/>
    <mergeCell ref="B15:E15"/>
    <mergeCell ref="C16:D16"/>
    <mergeCell ref="C17:D17"/>
    <mergeCell ref="C18:D18"/>
    <mergeCell ref="C19:D19"/>
    <mergeCell ref="B21:E21"/>
    <mergeCell ref="B25:D25"/>
    <mergeCell ref="B8:D8"/>
    <mergeCell ref="B2:E2"/>
    <mergeCell ref="B4:E4"/>
    <mergeCell ref="B5:D5"/>
    <mergeCell ref="B6:D6"/>
    <mergeCell ref="B7:D7"/>
  </mergeCells>
  <dataValidations count="10">
    <dataValidation allowBlank="1" showInputMessage="1" showErrorMessage="1" errorTitle="Valor inválido" error="Mínimo aceito = 2%_x000a_Máximo aceito = 5%" sqref="D88" xr:uid="{C5F853AE-5AF5-480E-92FC-F1CDD8E92964}"/>
    <dataValidation operator="lessThanOrEqual" showInputMessage="1" errorTitle="Valor inválido" error="Máximo aceito = 5%" sqref="D83" xr:uid="{4632361F-A495-4345-93D0-72E7E98ABB73}"/>
    <dataValidation type="decimal" allowBlank="1" showInputMessage="1" showErrorMessage="1" errorTitle="Valor inválido" error="Mínimo aceito = 2%_x000a_Máximo aceito = 5%" sqref="D87" xr:uid="{94584481-9755-4ADE-A696-8568020C0313}">
      <formula1>0.02</formula1>
      <formula2>0.05</formula2>
    </dataValidation>
    <dataValidation type="decimal" operator="lessThanOrEqual" allowBlank="1" showInputMessage="1" showErrorMessage="1" errorTitle="Valor inválido" error="Máximo aceito = 6%" sqref="D41 D37" xr:uid="{A497E521-2B03-423E-8196-5FF01C0F8728}">
      <formula1>0.06</formula1>
    </dataValidation>
    <dataValidation type="decimal" operator="lessThanOrEqual" allowBlank="1" showInputMessage="1" showErrorMessage="1" errorTitle="Valor inválido" error="Deve ser igual ou inferior a 2,00% (Ref.: IBGE)" sqref="I67" xr:uid="{0EE91556-963C-4201-8C3E-88794A37C954}">
      <formula1>0.02</formula1>
    </dataValidation>
    <dataValidation type="decimal" operator="lessThanOrEqual" allowBlank="1" showInputMessage="1" showErrorMessage="1" errorTitle="Valor inválido" error="Deve ser igual ou inferior a 8,00% (Ref.: IBGE)" sqref="I66" xr:uid="{EA84D07E-3EFC-41CD-9FE2-BED161549186}">
      <formula1>0.08</formula1>
    </dataValidation>
    <dataValidation type="decimal" operator="lessThanOrEqual" allowBlank="1" showInputMessage="1" showErrorMessage="1" errorTitle="Valor inválido" error="Deve ser igual ou inferior a 1,50% (Ref.: IBGE)" sqref="I65" xr:uid="{7EB695C9-35BB-4B8B-83ED-5A921781B365}">
      <formula1>0.015</formula1>
    </dataValidation>
    <dataValidation type="decimal" operator="lessThanOrEqual" allowBlank="1" showInputMessage="1" showErrorMessage="1" errorTitle="Valor inválido" error="Deve ser igual ou inferior a 5,55 (Ref.: TCU)" sqref="I53" xr:uid="{EB48DE83-CEB6-4110-9E17-48F81C4EE9BA}">
      <formula1>0.0555</formula1>
    </dataValidation>
    <dataValidation type="decimal" operator="lessThanOrEqual" allowBlank="1" showInputMessage="1" showErrorMessage="1" errorTitle="Valor inválido" error="Deve ser igual ou inferior a 5,96 (Ref.: IBGE)" sqref="I64" xr:uid="{ADB74C4B-6EA5-4DB0-B8A9-2B3F009B27D0}">
      <formula1>5.96</formula1>
    </dataValidation>
    <dataValidation type="list" allowBlank="1" showInputMessage="1" showErrorMessage="1" sqref="H13" xr:uid="{831C9449-A51C-470E-BD3B-51F511D6771D}">
      <formula1>$J$2:$J$3</formula1>
    </dataValidation>
  </dataValidations>
  <pageMargins left="0.511811024" right="0.511811024" top="0.78740157499999996" bottom="0.78740157499999996" header="0.31496062000000002" footer="0.31496062000000002"/>
  <pageSetup paperSize="9" scale="56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83FE4-93B1-44FC-8B33-36C5CA70077B}">
  <sheetPr codeName="Planilha14">
    <pageSetUpPr fitToPage="1"/>
  </sheetPr>
  <dimension ref="A1:BT95"/>
  <sheetViews>
    <sheetView topLeftCell="A52" zoomScaleNormal="100" workbookViewId="0">
      <selection activeCell="D64" sqref="D64"/>
    </sheetView>
  </sheetViews>
  <sheetFormatPr defaultColWidth="9.109375" defaultRowHeight="11.4" x14ac:dyDescent="0.3"/>
  <cols>
    <col min="1" max="1" width="1.6640625" style="2" customWidth="1"/>
    <col min="2" max="2" width="13.6640625" style="1" customWidth="1"/>
    <col min="3" max="3" width="59.44140625" style="1" customWidth="1"/>
    <col min="4" max="4" width="12.109375" style="1" customWidth="1"/>
    <col min="5" max="5" width="15.44140625" style="1" bestFit="1" customWidth="1"/>
    <col min="6" max="6" width="1.6640625" style="1" customWidth="1"/>
    <col min="7" max="7" width="1.6640625" style="2" customWidth="1"/>
    <col min="8" max="8" width="18.33203125" style="2" customWidth="1"/>
    <col min="9" max="9" width="11.6640625" style="2" bestFit="1" customWidth="1"/>
    <col min="10" max="10" width="9.109375" style="2" customWidth="1"/>
    <col min="11" max="11" width="27.109375" style="2" customWidth="1"/>
    <col min="12" max="16" width="9.109375" style="2" customWidth="1"/>
    <col min="17" max="16384" width="9.109375" style="2"/>
  </cols>
  <sheetData>
    <row r="1" spans="2:72" ht="14.25" customHeight="1" thickBot="1" x14ac:dyDescent="0.35"/>
    <row r="2" spans="2:72" s="1" customFormat="1" ht="22.5" customHeight="1" thickBot="1" x14ac:dyDescent="0.35">
      <c r="B2" s="239" t="s">
        <v>73</v>
      </c>
      <c r="C2" s="240"/>
      <c r="D2" s="240"/>
      <c r="E2" s="241"/>
      <c r="G2" s="3"/>
      <c r="J2" s="3"/>
    </row>
    <row r="3" spans="2:72" ht="14.25" customHeight="1" thickBot="1" x14ac:dyDescent="0.35">
      <c r="J3" s="3"/>
    </row>
    <row r="4" spans="2:72" ht="14.25" customHeight="1" x14ac:dyDescent="0.3">
      <c r="B4" s="218" t="s">
        <v>2</v>
      </c>
      <c r="C4" s="219"/>
      <c r="D4" s="219"/>
      <c r="E4" s="220"/>
      <c r="J4" s="3"/>
    </row>
    <row r="5" spans="2:72" ht="14.25" customHeight="1" x14ac:dyDescent="0.3">
      <c r="B5" s="242" t="s">
        <v>3</v>
      </c>
      <c r="C5" s="243"/>
      <c r="D5" s="244"/>
      <c r="E5" s="4"/>
      <c r="J5" s="3"/>
    </row>
    <row r="6" spans="2:72" ht="14.25" customHeight="1" x14ac:dyDescent="0.3">
      <c r="B6" s="201" t="s">
        <v>4</v>
      </c>
      <c r="C6" s="202"/>
      <c r="D6" s="203"/>
      <c r="E6" s="5" t="s">
        <v>5</v>
      </c>
      <c r="J6" s="3"/>
    </row>
    <row r="7" spans="2:72" ht="14.25" customHeight="1" x14ac:dyDescent="0.3">
      <c r="B7" s="201" t="s">
        <v>6</v>
      </c>
      <c r="C7" s="202"/>
      <c r="D7" s="203"/>
      <c r="E7" s="5" t="s">
        <v>148</v>
      </c>
      <c r="J7" s="3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  <c r="BL7" s="162"/>
      <c r="BM7" s="162"/>
      <c r="BN7" s="162"/>
      <c r="BO7" s="162"/>
      <c r="BP7" s="162"/>
      <c r="BQ7" s="162"/>
      <c r="BR7" s="162"/>
      <c r="BS7" s="162"/>
      <c r="BT7" s="164"/>
    </row>
    <row r="8" spans="2:72" ht="14.25" customHeight="1" thickBot="1" x14ac:dyDescent="0.35">
      <c r="B8" s="236" t="s">
        <v>7</v>
      </c>
      <c r="C8" s="237"/>
      <c r="D8" s="238"/>
      <c r="E8" s="6">
        <v>12</v>
      </c>
      <c r="J8" s="3"/>
    </row>
    <row r="9" spans="2:72" ht="14.25" customHeight="1" thickBot="1" x14ac:dyDescent="0.35">
      <c r="J9" s="3"/>
    </row>
    <row r="10" spans="2:72" ht="14.25" customHeight="1" thickBot="1" x14ac:dyDescent="0.35">
      <c r="B10" s="218" t="s">
        <v>8</v>
      </c>
      <c r="C10" s="219"/>
      <c r="D10" s="219"/>
      <c r="E10" s="220"/>
      <c r="J10" s="3"/>
    </row>
    <row r="11" spans="2:72" s="10" customFormat="1" ht="33" customHeight="1" x14ac:dyDescent="0.3">
      <c r="B11" s="221" t="s">
        <v>9</v>
      </c>
      <c r="C11" s="222"/>
      <c r="D11" s="7" t="s">
        <v>10</v>
      </c>
      <c r="E11" s="8" t="s">
        <v>11</v>
      </c>
      <c r="F11" s="9"/>
      <c r="I11" s="11"/>
      <c r="J11" s="11"/>
      <c r="K11" s="11"/>
      <c r="L11" s="11"/>
      <c r="M11" s="11"/>
    </row>
    <row r="12" spans="2:72" s="10" customFormat="1" ht="12" x14ac:dyDescent="0.3">
      <c r="B12" s="234" t="s">
        <v>91</v>
      </c>
      <c r="C12" s="235"/>
      <c r="D12" s="235"/>
      <c r="E12" s="61" t="s">
        <v>109</v>
      </c>
      <c r="F12" s="9"/>
      <c r="I12" s="11"/>
      <c r="J12" s="11"/>
      <c r="K12" s="11"/>
      <c r="L12" s="11"/>
      <c r="M12" s="11"/>
    </row>
    <row r="13" spans="2:72" ht="14.25" customHeight="1" thickBot="1" x14ac:dyDescent="0.35">
      <c r="B13" s="223" t="s">
        <v>226</v>
      </c>
      <c r="C13" s="224"/>
      <c r="D13" s="12" t="s">
        <v>12</v>
      </c>
      <c r="E13" s="13">
        <v>2</v>
      </c>
      <c r="F13" s="14"/>
      <c r="H13" s="15"/>
      <c r="I13" s="11"/>
      <c r="J13" s="11"/>
      <c r="K13" s="11"/>
      <c r="L13" s="11"/>
      <c r="M13" s="11"/>
    </row>
    <row r="14" spans="2:72" ht="14.25" customHeight="1" thickBot="1" x14ac:dyDescent="0.35">
      <c r="H14" s="11"/>
      <c r="I14" s="11"/>
      <c r="J14" s="11"/>
      <c r="K14" s="11"/>
      <c r="L14" s="11"/>
      <c r="M14" s="11"/>
    </row>
    <row r="15" spans="2:72" ht="14.25" customHeight="1" x14ac:dyDescent="0.3">
      <c r="B15" s="218" t="s">
        <v>13</v>
      </c>
      <c r="C15" s="219"/>
      <c r="D15" s="219"/>
      <c r="E15" s="220"/>
      <c r="H15" s="11"/>
      <c r="I15" s="11"/>
      <c r="J15" s="11"/>
      <c r="K15" s="11"/>
      <c r="L15" s="11"/>
      <c r="M15" s="11"/>
    </row>
    <row r="16" spans="2:72" ht="14.25" customHeight="1" x14ac:dyDescent="0.3">
      <c r="B16" s="16">
        <v>1</v>
      </c>
      <c r="C16" s="225" t="s">
        <v>14</v>
      </c>
      <c r="D16" s="226"/>
      <c r="E16" s="17"/>
      <c r="H16" s="11"/>
      <c r="I16" s="11"/>
      <c r="J16" s="11"/>
      <c r="K16" s="11"/>
      <c r="L16" s="11"/>
      <c r="M16" s="11"/>
    </row>
    <row r="17" spans="1:13" ht="14.25" customHeight="1" x14ac:dyDescent="0.3">
      <c r="B17" s="18">
        <v>2</v>
      </c>
      <c r="C17" s="227" t="s">
        <v>15</v>
      </c>
      <c r="D17" s="228"/>
      <c r="E17" s="17"/>
      <c r="H17" s="11"/>
      <c r="I17" s="11"/>
      <c r="J17" s="11"/>
      <c r="K17" s="11"/>
      <c r="L17" s="11"/>
      <c r="M17" s="11"/>
    </row>
    <row r="18" spans="1:13" ht="14.25" customHeight="1" x14ac:dyDescent="0.3">
      <c r="B18" s="18">
        <v>3</v>
      </c>
      <c r="C18" s="227" t="s">
        <v>16</v>
      </c>
      <c r="D18" s="228"/>
      <c r="E18" s="17"/>
      <c r="H18" s="11"/>
      <c r="I18" s="11"/>
      <c r="J18" s="11"/>
      <c r="K18" s="11"/>
      <c r="L18" s="11"/>
      <c r="M18" s="11"/>
    </row>
    <row r="19" spans="1:13" ht="14.25" customHeight="1" thickBot="1" x14ac:dyDescent="0.35">
      <c r="B19" s="19">
        <v>4</v>
      </c>
      <c r="C19" s="229" t="s">
        <v>17</v>
      </c>
      <c r="D19" s="230"/>
      <c r="E19" s="55"/>
      <c r="H19" s="11"/>
      <c r="I19" s="11"/>
      <c r="J19" s="11"/>
      <c r="K19" s="11"/>
      <c r="L19" s="11"/>
      <c r="M19" s="11"/>
    </row>
    <row r="20" spans="1:13" ht="14.25" customHeight="1" thickBot="1" x14ac:dyDescent="0.35">
      <c r="H20" s="11"/>
      <c r="I20" s="11"/>
      <c r="J20" s="11"/>
      <c r="K20" s="11"/>
      <c r="L20" s="11"/>
      <c r="M20" s="11"/>
    </row>
    <row r="21" spans="1:13" ht="14.25" customHeight="1" x14ac:dyDescent="0.3">
      <c r="B21" s="231" t="s">
        <v>18</v>
      </c>
      <c r="C21" s="232"/>
      <c r="D21" s="232"/>
      <c r="E21" s="233"/>
      <c r="F21" s="20"/>
      <c r="H21" s="11"/>
      <c r="I21" s="11"/>
      <c r="J21" s="11"/>
      <c r="K21" s="11"/>
      <c r="L21" s="11"/>
      <c r="M21" s="11"/>
    </row>
    <row r="22" spans="1:13" ht="14.25" customHeight="1" x14ac:dyDescent="0.3">
      <c r="B22" s="21" t="s">
        <v>19</v>
      </c>
      <c r="C22" s="22"/>
      <c r="D22" s="23"/>
      <c r="E22" s="17">
        <v>9100.92</v>
      </c>
      <c r="F22" s="24"/>
      <c r="H22" s="34"/>
      <c r="I22" s="34"/>
      <c r="J22" s="11"/>
      <c r="K22" s="11"/>
      <c r="L22" s="11"/>
      <c r="M22" s="11"/>
    </row>
    <row r="23" spans="1:13" ht="14.25" customHeight="1" x14ac:dyDescent="0.3">
      <c r="B23" s="25" t="s">
        <v>74</v>
      </c>
      <c r="C23" s="26"/>
      <c r="D23" s="27"/>
      <c r="E23" s="17"/>
      <c r="F23" s="24"/>
      <c r="H23" s="11"/>
      <c r="I23" s="11"/>
      <c r="J23" s="11"/>
      <c r="K23" s="11"/>
      <c r="L23" s="11"/>
      <c r="M23" s="11"/>
    </row>
    <row r="24" spans="1:13" ht="14.25" customHeight="1" x14ac:dyDescent="0.3">
      <c r="B24" s="25" t="s">
        <v>20</v>
      </c>
      <c r="C24" s="26"/>
      <c r="D24" s="27"/>
      <c r="E24" s="17"/>
      <c r="F24" s="24"/>
      <c r="H24" s="11"/>
      <c r="I24" s="11"/>
      <c r="J24" s="11"/>
      <c r="K24" s="11"/>
      <c r="L24" s="11"/>
      <c r="M24" s="11"/>
    </row>
    <row r="25" spans="1:13" ht="14.25" customHeight="1" thickBot="1" x14ac:dyDescent="0.35">
      <c r="B25" s="191" t="s">
        <v>21</v>
      </c>
      <c r="C25" s="192"/>
      <c r="D25" s="193"/>
      <c r="E25" s="28">
        <v>9100.92</v>
      </c>
      <c r="F25" s="29"/>
      <c r="H25" s="11"/>
      <c r="I25" s="11"/>
      <c r="J25" s="11"/>
      <c r="K25" s="11"/>
      <c r="L25" s="11"/>
      <c r="M25" s="11"/>
    </row>
    <row r="26" spans="1:13" ht="14.25" customHeight="1" thickBot="1" x14ac:dyDescent="0.35">
      <c r="H26" s="11"/>
      <c r="I26" s="11"/>
      <c r="J26" s="11"/>
      <c r="K26" s="11"/>
      <c r="L26" s="11"/>
      <c r="M26" s="11"/>
    </row>
    <row r="27" spans="1:13" ht="14.25" customHeight="1" thickBot="1" x14ac:dyDescent="0.35">
      <c r="B27" s="194" t="s">
        <v>22</v>
      </c>
      <c r="C27" s="195"/>
      <c r="D27" s="195"/>
      <c r="E27" s="196"/>
      <c r="F27" s="20"/>
      <c r="H27" s="11"/>
      <c r="I27" s="11"/>
      <c r="J27" s="11"/>
      <c r="K27" s="11"/>
      <c r="L27" s="11"/>
      <c r="M27" s="11"/>
    </row>
    <row r="28" spans="1:13" ht="14.25" customHeight="1" x14ac:dyDescent="0.3">
      <c r="B28" s="212" t="s">
        <v>23</v>
      </c>
      <c r="C28" s="213"/>
      <c r="D28" s="213"/>
      <c r="E28" s="214"/>
      <c r="H28" s="11"/>
      <c r="I28" s="11"/>
      <c r="J28" s="11"/>
      <c r="K28" s="11"/>
      <c r="L28" s="11"/>
      <c r="M28" s="11"/>
    </row>
    <row r="29" spans="1:13" ht="14.25" customHeight="1" x14ac:dyDescent="0.3">
      <c r="A29" s="2" t="s">
        <v>24</v>
      </c>
      <c r="B29" s="21" t="s">
        <v>25</v>
      </c>
      <c r="C29" s="22"/>
      <c r="D29" s="30">
        <v>8.3299999999999999E-2</v>
      </c>
      <c r="E29" s="57">
        <f>D29*E22</f>
        <v>758.10663599999998</v>
      </c>
      <c r="F29" s="32"/>
      <c r="H29" s="11"/>
      <c r="I29" s="11"/>
      <c r="J29" s="11"/>
      <c r="K29" s="11"/>
      <c r="L29" s="11"/>
      <c r="M29" s="11"/>
    </row>
    <row r="30" spans="1:13" ht="14.25" customHeight="1" x14ac:dyDescent="0.3">
      <c r="A30" s="2" t="s">
        <v>26</v>
      </c>
      <c r="B30" s="21" t="s">
        <v>27</v>
      </c>
      <c r="C30" s="22"/>
      <c r="D30" s="30">
        <v>0.121</v>
      </c>
      <c r="E30" s="57">
        <f>D30*E25</f>
        <v>1101.2113199999999</v>
      </c>
      <c r="F30" s="32"/>
      <c r="H30" s="11"/>
      <c r="I30" s="34"/>
      <c r="J30" s="11"/>
      <c r="K30" s="11"/>
      <c r="L30" s="11"/>
      <c r="M30" s="11"/>
    </row>
    <row r="31" spans="1:13" ht="14.25" customHeight="1" thickBot="1" x14ac:dyDescent="0.35">
      <c r="B31" s="93" t="s">
        <v>163</v>
      </c>
      <c r="C31" s="94"/>
      <c r="D31" s="163">
        <f>D29+D30</f>
        <v>0.20429999999999998</v>
      </c>
      <c r="E31" s="33">
        <f>SUM(E29:E30)</f>
        <v>1859.3179559999999</v>
      </c>
      <c r="F31" s="29"/>
      <c r="H31" s="11"/>
      <c r="I31" s="11"/>
      <c r="J31" s="11"/>
      <c r="K31" s="11"/>
      <c r="L31" s="11"/>
      <c r="M31" s="11"/>
    </row>
    <row r="32" spans="1:13" ht="14.25" customHeight="1" x14ac:dyDescent="0.3">
      <c r="B32" s="21" t="s">
        <v>250</v>
      </c>
      <c r="C32" s="22"/>
      <c r="D32" s="95">
        <f>'10'!D32</f>
        <v>4.0451890319999996E-2</v>
      </c>
      <c r="E32" s="57">
        <f>D32*E25</f>
        <v>368.14941765109438</v>
      </c>
      <c r="F32" s="29"/>
      <c r="H32" s="11"/>
      <c r="I32" s="11"/>
      <c r="J32" s="11"/>
      <c r="K32" s="11"/>
      <c r="L32" s="11"/>
      <c r="M32" s="11"/>
    </row>
    <row r="33" spans="1:13" ht="14.25" customHeight="1" thickBot="1" x14ac:dyDescent="0.35">
      <c r="B33" s="93" t="s">
        <v>28</v>
      </c>
      <c r="C33" s="94"/>
      <c r="D33" s="97">
        <f>SUM(D31+D32)</f>
        <v>0.24475189031999997</v>
      </c>
      <c r="E33" s="33">
        <f>SUM(E31:E32)</f>
        <v>2227.467373651094</v>
      </c>
      <c r="F33" s="29"/>
      <c r="H33" s="34"/>
      <c r="I33" s="11"/>
      <c r="J33" s="11"/>
      <c r="K33" s="11"/>
      <c r="L33" s="11"/>
      <c r="M33" s="11"/>
    </row>
    <row r="34" spans="1:13" ht="14.25" customHeight="1" x14ac:dyDescent="0.3">
      <c r="B34" s="212" t="s">
        <v>29</v>
      </c>
      <c r="C34" s="213"/>
      <c r="D34" s="213"/>
      <c r="E34" s="214"/>
      <c r="H34" s="11"/>
      <c r="I34" s="11"/>
      <c r="J34" s="11"/>
      <c r="K34" s="11"/>
      <c r="L34" s="11"/>
      <c r="M34" s="11"/>
    </row>
    <row r="35" spans="1:13" ht="14.25" customHeight="1" x14ac:dyDescent="0.3">
      <c r="A35" s="2" t="s">
        <v>24</v>
      </c>
      <c r="B35" s="21" t="s">
        <v>30</v>
      </c>
      <c r="C35" s="22"/>
      <c r="D35" s="30">
        <v>0.05</v>
      </c>
      <c r="E35" s="57">
        <f>D35*E$25</f>
        <v>455.04600000000005</v>
      </c>
      <c r="F35" s="32"/>
      <c r="H35" s="11"/>
      <c r="I35" s="11"/>
      <c r="J35" s="11"/>
      <c r="K35" s="11"/>
      <c r="L35" s="11"/>
      <c r="M35" s="11"/>
    </row>
    <row r="36" spans="1:13" ht="14.25" customHeight="1" x14ac:dyDescent="0.3">
      <c r="A36" s="2" t="s">
        <v>26</v>
      </c>
      <c r="B36" s="21" t="s">
        <v>31</v>
      </c>
      <c r="C36" s="22"/>
      <c r="D36" s="30">
        <v>2.5002400000000001E-2</v>
      </c>
      <c r="E36" s="57">
        <f>ROUND(D36*E$25,2)</f>
        <v>227.54</v>
      </c>
      <c r="F36" s="32"/>
      <c r="H36" s="34"/>
      <c r="I36" s="11"/>
      <c r="J36" s="11"/>
      <c r="K36" s="11"/>
      <c r="L36" s="11"/>
      <c r="M36" s="11"/>
    </row>
    <row r="37" spans="1:13" ht="14.25" customHeight="1" x14ac:dyDescent="0.3">
      <c r="A37" s="2" t="s">
        <v>32</v>
      </c>
      <c r="B37" s="21" t="s">
        <v>33</v>
      </c>
      <c r="C37" s="22"/>
      <c r="D37" s="35">
        <v>0.01</v>
      </c>
      <c r="E37" s="57">
        <f t="shared" ref="E37:E42" si="0">D37*E$25</f>
        <v>91.009200000000007</v>
      </c>
      <c r="F37" s="32"/>
      <c r="H37" s="11"/>
      <c r="I37" s="11"/>
      <c r="J37" s="11"/>
      <c r="K37" s="11"/>
      <c r="L37" s="11"/>
      <c r="M37" s="11"/>
    </row>
    <row r="38" spans="1:13" ht="14.25" customHeight="1" x14ac:dyDescent="0.3">
      <c r="A38" s="2" t="s">
        <v>34</v>
      </c>
      <c r="B38" s="21" t="s">
        <v>35</v>
      </c>
      <c r="C38" s="22"/>
      <c r="D38" s="30">
        <v>1.4999999999999999E-2</v>
      </c>
      <c r="E38" s="57">
        <f t="shared" si="0"/>
        <v>136.5138</v>
      </c>
      <c r="F38" s="32"/>
      <c r="H38" s="11"/>
      <c r="I38" s="11"/>
      <c r="J38" s="11"/>
      <c r="K38" s="11"/>
      <c r="L38" s="11"/>
      <c r="M38" s="11"/>
    </row>
    <row r="39" spans="1:13" ht="14.25" customHeight="1" x14ac:dyDescent="0.3">
      <c r="A39" s="2" t="s">
        <v>36</v>
      </c>
      <c r="B39" s="21" t="s">
        <v>37</v>
      </c>
      <c r="C39" s="22"/>
      <c r="D39" s="30">
        <v>0.01</v>
      </c>
      <c r="E39" s="57">
        <f t="shared" si="0"/>
        <v>91.009200000000007</v>
      </c>
      <c r="F39" s="32"/>
      <c r="H39" s="11"/>
      <c r="I39" s="11"/>
      <c r="J39" s="11"/>
      <c r="K39" s="11"/>
      <c r="L39" s="11"/>
      <c r="M39" s="11"/>
    </row>
    <row r="40" spans="1:13" ht="14.25" customHeight="1" x14ac:dyDescent="0.3">
      <c r="A40" s="2" t="s">
        <v>38</v>
      </c>
      <c r="B40" s="21" t="s">
        <v>39</v>
      </c>
      <c r="C40" s="22"/>
      <c r="D40" s="30">
        <v>6.0000000000000001E-3</v>
      </c>
      <c r="E40" s="57">
        <f t="shared" si="0"/>
        <v>54.605519999999999</v>
      </c>
      <c r="F40" s="32"/>
      <c r="H40" s="11"/>
      <c r="I40" s="11"/>
      <c r="J40" s="11"/>
      <c r="K40" s="11"/>
      <c r="L40" s="11"/>
      <c r="M40" s="11"/>
    </row>
    <row r="41" spans="1:13" ht="14.25" customHeight="1" x14ac:dyDescent="0.3">
      <c r="A41" s="2" t="s">
        <v>40</v>
      </c>
      <c r="B41" s="21" t="s">
        <v>41</v>
      </c>
      <c r="C41" s="22"/>
      <c r="D41" s="36">
        <v>2E-3</v>
      </c>
      <c r="E41" s="57">
        <f t="shared" si="0"/>
        <v>18.201840000000001</v>
      </c>
      <c r="F41" s="32"/>
      <c r="H41" s="11"/>
      <c r="I41" s="11"/>
      <c r="J41" s="11"/>
      <c r="K41" s="11"/>
      <c r="L41" s="11"/>
      <c r="M41" s="11"/>
    </row>
    <row r="42" spans="1:13" ht="14.25" customHeight="1" x14ac:dyDescent="0.3">
      <c r="A42" s="2" t="s">
        <v>42</v>
      </c>
      <c r="B42" s="21" t="s">
        <v>43</v>
      </c>
      <c r="C42" s="22"/>
      <c r="D42" s="30">
        <v>0.08</v>
      </c>
      <c r="E42" s="57">
        <f t="shared" si="0"/>
        <v>728.07360000000006</v>
      </c>
      <c r="F42" s="32"/>
      <c r="H42" s="245"/>
      <c r="I42" s="246">
        <v>22</v>
      </c>
      <c r="J42" s="11"/>
      <c r="K42" s="11"/>
      <c r="L42" s="11"/>
      <c r="M42" s="11"/>
    </row>
    <row r="43" spans="1:13" ht="14.25" customHeight="1" thickBot="1" x14ac:dyDescent="0.35">
      <c r="B43" s="215" t="s">
        <v>44</v>
      </c>
      <c r="C43" s="216"/>
      <c r="D43" s="37">
        <f>SUM(D35:D42)</f>
        <v>0.1980024</v>
      </c>
      <c r="E43" s="33">
        <f>SUM(E35:E42)</f>
        <v>1801.9991599999998</v>
      </c>
      <c r="F43" s="29"/>
      <c r="H43" s="245"/>
      <c r="I43" s="246"/>
      <c r="J43" s="34">
        <f>E43-H43</f>
        <v>1801.9991599999998</v>
      </c>
      <c r="K43" s="11"/>
      <c r="L43" s="11"/>
      <c r="M43" s="11"/>
    </row>
    <row r="44" spans="1:13" ht="14.25" customHeight="1" x14ac:dyDescent="0.3">
      <c r="B44" s="212" t="s">
        <v>45</v>
      </c>
      <c r="C44" s="213"/>
      <c r="D44" s="213"/>
      <c r="E44" s="214"/>
      <c r="H44" s="245"/>
      <c r="I44" s="246"/>
      <c r="J44" s="11"/>
      <c r="K44" s="11"/>
      <c r="L44" s="11"/>
      <c r="M44" s="11"/>
    </row>
    <row r="45" spans="1:13" ht="14.25" customHeight="1" x14ac:dyDescent="0.3">
      <c r="A45" s="2" t="s">
        <v>24</v>
      </c>
      <c r="B45" s="201" t="s">
        <v>46</v>
      </c>
      <c r="C45" s="202"/>
      <c r="D45" s="203"/>
      <c r="E45" s="57">
        <v>0</v>
      </c>
      <c r="F45" s="32"/>
      <c r="H45" s="38"/>
      <c r="I45" s="39">
        <v>5.5</v>
      </c>
      <c r="J45" s="11"/>
      <c r="K45" s="11"/>
      <c r="L45" s="11"/>
      <c r="M45" s="11"/>
    </row>
    <row r="46" spans="1:13" ht="14.25" customHeight="1" x14ac:dyDescent="0.3">
      <c r="A46" s="2" t="s">
        <v>26</v>
      </c>
      <c r="B46" s="201" t="s">
        <v>47</v>
      </c>
      <c r="C46" s="202"/>
      <c r="D46" s="203"/>
      <c r="E46" s="57">
        <v>589.77599999999995</v>
      </c>
      <c r="F46" s="32"/>
      <c r="H46" s="38"/>
      <c r="I46" s="41"/>
      <c r="J46" s="11"/>
      <c r="K46" s="11"/>
      <c r="L46" s="70"/>
      <c r="M46" s="11"/>
    </row>
    <row r="47" spans="1:13" ht="14.25" customHeight="1" x14ac:dyDescent="0.3">
      <c r="A47" s="2" t="s">
        <v>32</v>
      </c>
      <c r="B47" s="21" t="s">
        <v>48</v>
      </c>
      <c r="C47" s="22"/>
      <c r="D47" s="40"/>
      <c r="E47" s="57">
        <v>165</v>
      </c>
      <c r="F47" s="32"/>
      <c r="H47" s="38"/>
      <c r="I47" s="41"/>
      <c r="J47" s="11"/>
      <c r="K47" s="11"/>
      <c r="L47" s="11"/>
      <c r="M47" s="11"/>
    </row>
    <row r="48" spans="1:13" ht="14.25" customHeight="1" x14ac:dyDescent="0.3">
      <c r="A48" s="2" t="s">
        <v>34</v>
      </c>
      <c r="B48" s="201" t="s">
        <v>20</v>
      </c>
      <c r="C48" s="202"/>
      <c r="D48" s="203"/>
      <c r="E48" s="31"/>
      <c r="F48" s="32"/>
      <c r="H48" s="38"/>
      <c r="I48" s="58"/>
      <c r="J48" s="11"/>
      <c r="K48" s="11"/>
      <c r="L48" s="11"/>
      <c r="M48" s="11"/>
    </row>
    <row r="49" spans="1:14" ht="14.25" customHeight="1" thickBot="1" x14ac:dyDescent="0.35">
      <c r="B49" s="215" t="s">
        <v>49</v>
      </c>
      <c r="C49" s="217"/>
      <c r="D49" s="216">
        <v>0</v>
      </c>
      <c r="E49" s="33">
        <f>SUM(E45:E47)</f>
        <v>754.77599999999995</v>
      </c>
      <c r="F49" s="29"/>
      <c r="H49" s="38"/>
      <c r="I49" s="41"/>
      <c r="J49" s="11"/>
      <c r="K49" s="11"/>
      <c r="L49" s="11"/>
      <c r="M49" s="11"/>
    </row>
    <row r="50" spans="1:14" ht="14.25" customHeight="1" thickBot="1" x14ac:dyDescent="0.35">
      <c r="B50" s="191" t="s">
        <v>50</v>
      </c>
      <c r="C50" s="192"/>
      <c r="D50" s="193"/>
      <c r="E50" s="28">
        <f>E43+E33+E49</f>
        <v>4784.2425336510942</v>
      </c>
      <c r="F50" s="29"/>
      <c r="H50" s="38"/>
      <c r="I50" s="41"/>
      <c r="J50" s="11"/>
      <c r="K50" s="11"/>
      <c r="L50" s="11"/>
      <c r="M50" s="11"/>
    </row>
    <row r="51" spans="1:14" ht="14.25" customHeight="1" thickBot="1" x14ac:dyDescent="0.35">
      <c r="H51" s="38"/>
      <c r="I51" s="41"/>
      <c r="J51" s="11"/>
      <c r="K51" s="11"/>
      <c r="L51" s="11"/>
      <c r="M51" s="11"/>
    </row>
    <row r="52" spans="1:14" ht="14.25" customHeight="1" thickBot="1" x14ac:dyDescent="0.35">
      <c r="B52" s="194" t="s">
        <v>51</v>
      </c>
      <c r="C52" s="195"/>
      <c r="D52" s="195"/>
      <c r="E52" s="196"/>
      <c r="F52" s="20"/>
      <c r="H52" s="38"/>
      <c r="I52" s="41"/>
      <c r="J52" s="11"/>
      <c r="K52" s="11"/>
      <c r="L52" s="11"/>
      <c r="M52" s="11"/>
    </row>
    <row r="53" spans="1:14" ht="14.25" customHeight="1" x14ac:dyDescent="0.3">
      <c r="A53" s="2" t="s">
        <v>24</v>
      </c>
      <c r="B53" s="21" t="s">
        <v>52</v>
      </c>
      <c r="C53" s="21"/>
      <c r="D53" s="30">
        <v>4.2119999999999996E-3</v>
      </c>
      <c r="E53" s="57">
        <f t="shared" ref="E53:E58" si="1">D53*E$25</f>
        <v>38.333075039999997</v>
      </c>
      <c r="F53" s="32"/>
      <c r="H53" s="245" t="s">
        <v>53</v>
      </c>
      <c r="I53" s="247">
        <v>5.5500000000000001E-2</v>
      </c>
      <c r="J53" s="11"/>
      <c r="K53" s="11"/>
      <c r="L53" s="11"/>
      <c r="M53" s="11"/>
    </row>
    <row r="54" spans="1:14" ht="14.25" customHeight="1" x14ac:dyDescent="0.3">
      <c r="A54" s="2" t="s">
        <v>26</v>
      </c>
      <c r="B54" s="21" t="s">
        <v>54</v>
      </c>
      <c r="C54" s="21"/>
      <c r="D54" s="30">
        <v>3.3695999999999997E-4</v>
      </c>
      <c r="E54" s="57">
        <f t="shared" si="1"/>
        <v>3.0666460031999998</v>
      </c>
      <c r="F54" s="32"/>
      <c r="H54" s="245"/>
      <c r="I54" s="247"/>
      <c r="J54" s="11"/>
      <c r="K54" s="11"/>
      <c r="L54" s="11"/>
      <c r="M54" s="11"/>
    </row>
    <row r="55" spans="1:14" ht="14.25" customHeight="1" x14ac:dyDescent="0.3">
      <c r="A55" s="2" t="s">
        <v>32</v>
      </c>
      <c r="B55" s="21" t="s">
        <v>55</v>
      </c>
      <c r="C55" s="21"/>
      <c r="D55" s="30">
        <v>0.02</v>
      </c>
      <c r="E55" s="57">
        <f t="shared" si="1"/>
        <v>182.01840000000001</v>
      </c>
      <c r="F55" s="32"/>
      <c r="H55" s="245" t="s">
        <v>56</v>
      </c>
      <c r="I55" s="246">
        <v>0.9</v>
      </c>
      <c r="J55" s="11"/>
      <c r="K55" s="11"/>
      <c r="L55" s="11"/>
      <c r="M55" s="11"/>
      <c r="N55" s="104"/>
    </row>
    <row r="56" spans="1:14" ht="14.25" customHeight="1" x14ac:dyDescent="0.3">
      <c r="A56" s="2" t="s">
        <v>34</v>
      </c>
      <c r="B56" s="21" t="s">
        <v>57</v>
      </c>
      <c r="C56" s="21"/>
      <c r="D56" s="30">
        <v>1.9444444444444445E-2</v>
      </c>
      <c r="E56" s="57">
        <f t="shared" si="1"/>
        <v>176.96233333333333</v>
      </c>
      <c r="F56" s="32"/>
      <c r="H56" s="245"/>
      <c r="I56" s="246"/>
      <c r="J56" s="11"/>
      <c r="K56" s="11"/>
      <c r="L56" s="11"/>
      <c r="M56" s="11"/>
    </row>
    <row r="57" spans="1:14" ht="14.25" customHeight="1" x14ac:dyDescent="0.3">
      <c r="A57" s="2" t="s">
        <v>36</v>
      </c>
      <c r="B57" s="21" t="s">
        <v>58</v>
      </c>
      <c r="C57" s="22"/>
      <c r="D57" s="30">
        <v>2.8778244444444445E-3</v>
      </c>
      <c r="E57" s="57">
        <f t="shared" si="1"/>
        <v>26.190850042933334</v>
      </c>
      <c r="F57" s="32"/>
      <c r="H57" s="245"/>
      <c r="I57" s="246"/>
      <c r="J57" s="11"/>
      <c r="K57" s="11"/>
      <c r="L57" s="11"/>
      <c r="M57" s="11"/>
    </row>
    <row r="58" spans="1:14" ht="14.25" customHeight="1" x14ac:dyDescent="0.3">
      <c r="A58" s="2" t="s">
        <v>38</v>
      </c>
      <c r="B58" s="21" t="s">
        <v>59</v>
      </c>
      <c r="C58" s="21"/>
      <c r="D58" s="30">
        <v>0.02</v>
      </c>
      <c r="E58" s="57">
        <f t="shared" si="1"/>
        <v>182.01840000000001</v>
      </c>
      <c r="F58" s="32"/>
      <c r="H58" s="38"/>
      <c r="I58" s="38"/>
      <c r="J58" s="11"/>
      <c r="K58" s="11"/>
      <c r="L58" s="11"/>
      <c r="M58" s="11"/>
    </row>
    <row r="59" spans="1:14" ht="14.25" customHeight="1" thickBot="1" x14ac:dyDescent="0.35">
      <c r="B59" s="191" t="s">
        <v>60</v>
      </c>
      <c r="C59" s="192"/>
      <c r="D59" s="193"/>
      <c r="E59" s="28">
        <f>SUM(E53:E58)</f>
        <v>608.58970441946667</v>
      </c>
      <c r="F59" s="29"/>
      <c r="H59" s="38"/>
      <c r="I59" s="38"/>
      <c r="J59" s="11"/>
      <c r="K59" s="11"/>
      <c r="L59" s="11"/>
      <c r="M59" s="11"/>
    </row>
    <row r="60" spans="1:14" ht="14.25" customHeight="1" thickBot="1" x14ac:dyDescent="0.35">
      <c r="H60" s="38"/>
      <c r="I60" s="38"/>
      <c r="J60" s="11"/>
      <c r="K60" s="11"/>
      <c r="L60" s="11"/>
      <c r="M60" s="11"/>
    </row>
    <row r="61" spans="1:14" ht="14.25" customHeight="1" x14ac:dyDescent="0.3">
      <c r="B61" s="204" t="s">
        <v>75</v>
      </c>
      <c r="C61" s="205"/>
      <c r="D61" s="205"/>
      <c r="E61" s="206"/>
      <c r="F61" s="20"/>
      <c r="H61" s="38"/>
      <c r="I61" s="38"/>
      <c r="J61" s="11"/>
      <c r="K61" s="11"/>
      <c r="L61" s="11"/>
      <c r="M61" s="11"/>
    </row>
    <row r="62" spans="1:14" ht="14.25" customHeight="1" x14ac:dyDescent="0.3">
      <c r="B62" s="207"/>
      <c r="C62" s="208"/>
      <c r="D62" s="208"/>
      <c r="E62" s="209"/>
      <c r="H62" s="11"/>
      <c r="I62" s="11"/>
      <c r="J62" s="11"/>
      <c r="K62" s="11"/>
      <c r="L62" s="11"/>
      <c r="M62" s="11"/>
    </row>
    <row r="63" spans="1:14" ht="14.25" customHeight="1" x14ac:dyDescent="0.3">
      <c r="A63" s="2" t="s">
        <v>24</v>
      </c>
      <c r="B63" s="201" t="s">
        <v>76</v>
      </c>
      <c r="C63" s="203"/>
      <c r="D63" s="30">
        <v>9.2999999999999992E-3</v>
      </c>
      <c r="E63" s="57">
        <f t="shared" ref="E63:E68" si="2">D63*E$25</f>
        <v>84.638555999999994</v>
      </c>
      <c r="F63" s="32"/>
      <c r="H63" s="38"/>
      <c r="I63" s="38"/>
      <c r="J63" s="11"/>
      <c r="K63" s="11"/>
      <c r="L63" s="11"/>
      <c r="M63" s="11"/>
    </row>
    <row r="64" spans="1:14" ht="14.25" customHeight="1" x14ac:dyDescent="0.3">
      <c r="A64" s="2" t="s">
        <v>26</v>
      </c>
      <c r="B64" s="101" t="s">
        <v>77</v>
      </c>
      <c r="C64" s="98"/>
      <c r="D64" s="30">
        <v>1.66E-2</v>
      </c>
      <c r="E64" s="57">
        <f t="shared" si="2"/>
        <v>151.07527200000001</v>
      </c>
      <c r="F64" s="32"/>
      <c r="H64" s="38" t="s">
        <v>78</v>
      </c>
      <c r="I64" s="39">
        <v>5.96</v>
      </c>
      <c r="J64" s="11"/>
      <c r="K64" s="11"/>
      <c r="L64" s="11"/>
      <c r="M64" s="11"/>
    </row>
    <row r="65" spans="1:13" ht="14.25" customHeight="1" x14ac:dyDescent="0.3">
      <c r="A65" s="2" t="s">
        <v>32</v>
      </c>
      <c r="B65" s="101" t="s">
        <v>79</v>
      </c>
      <c r="C65" s="98"/>
      <c r="D65" s="30">
        <v>2.0000000000000001E-4</v>
      </c>
      <c r="E65" s="57">
        <f t="shared" si="2"/>
        <v>1.820184</v>
      </c>
      <c r="F65" s="32"/>
      <c r="H65" s="38" t="s">
        <v>80</v>
      </c>
      <c r="I65" s="42">
        <v>1.4999999999999999E-2</v>
      </c>
      <c r="J65" s="11"/>
      <c r="K65" s="11"/>
      <c r="L65" s="11"/>
      <c r="M65" s="11"/>
    </row>
    <row r="66" spans="1:13" ht="14.25" customHeight="1" x14ac:dyDescent="0.3">
      <c r="A66" s="2" t="s">
        <v>34</v>
      </c>
      <c r="B66" s="101" t="s">
        <v>81</v>
      </c>
      <c r="C66" s="98"/>
      <c r="D66" s="30">
        <v>2.7000000000000001E-3</v>
      </c>
      <c r="E66" s="57">
        <f t="shared" si="2"/>
        <v>24.572484000000003</v>
      </c>
      <c r="F66" s="32"/>
      <c r="H66" s="38" t="s">
        <v>82</v>
      </c>
      <c r="I66" s="42">
        <v>1.8599999999999998E-2</v>
      </c>
      <c r="J66" s="11"/>
      <c r="K66" s="11"/>
      <c r="L66" s="11"/>
      <c r="M66" s="11"/>
    </row>
    <row r="67" spans="1:13" ht="14.25" customHeight="1" x14ac:dyDescent="0.3">
      <c r="A67" s="2" t="s">
        <v>36</v>
      </c>
      <c r="B67" s="101" t="s">
        <v>83</v>
      </c>
      <c r="C67" s="98"/>
      <c r="D67" s="30">
        <v>2.8E-3</v>
      </c>
      <c r="E67" s="57">
        <f t="shared" si="2"/>
        <v>25.482576000000002</v>
      </c>
      <c r="F67" s="32"/>
      <c r="H67" s="245" t="s">
        <v>84</v>
      </c>
      <c r="I67" s="247">
        <v>0.02</v>
      </c>
      <c r="J67" s="11"/>
      <c r="K67" s="105"/>
      <c r="L67" s="11"/>
      <c r="M67" s="11"/>
    </row>
    <row r="68" spans="1:13" ht="14.25" customHeight="1" x14ac:dyDescent="0.3">
      <c r="A68" s="2" t="s">
        <v>38</v>
      </c>
      <c r="B68" s="101" t="s">
        <v>20</v>
      </c>
      <c r="C68" s="98"/>
      <c r="D68" s="30">
        <v>0</v>
      </c>
      <c r="E68" s="57">
        <f t="shared" si="2"/>
        <v>0</v>
      </c>
      <c r="F68" s="32"/>
      <c r="H68" s="245"/>
      <c r="I68" s="247"/>
      <c r="J68" s="11"/>
      <c r="K68" s="11"/>
      <c r="L68" s="11"/>
      <c r="M68" s="11"/>
    </row>
    <row r="69" spans="1:13" ht="14.25" customHeight="1" x14ac:dyDescent="0.3">
      <c r="B69" s="102" t="s">
        <v>164</v>
      </c>
      <c r="C69" s="96"/>
      <c r="D69" s="100">
        <v>0.1056</v>
      </c>
      <c r="E69" s="99">
        <f>SUM(E63:E68)</f>
        <v>287.58907199999999</v>
      </c>
      <c r="F69" s="32"/>
      <c r="H69" s="92"/>
      <c r="I69" s="42"/>
      <c r="J69" s="11"/>
      <c r="K69" s="11"/>
      <c r="L69" s="11"/>
      <c r="M69" s="11"/>
    </row>
    <row r="70" spans="1:13" ht="14.25" customHeight="1" x14ac:dyDescent="0.3">
      <c r="B70" s="201" t="s">
        <v>165</v>
      </c>
      <c r="C70" s="202"/>
      <c r="D70" s="203"/>
      <c r="E70" s="57">
        <f>D43*E69</f>
        <v>56.943326469772799</v>
      </c>
      <c r="F70" s="32"/>
      <c r="H70" s="92"/>
      <c r="I70" s="42"/>
      <c r="J70" s="11"/>
      <c r="K70" s="11"/>
      <c r="L70" s="11"/>
      <c r="M70" s="11"/>
    </row>
    <row r="71" spans="1:13" ht="14.25" customHeight="1" thickBot="1" x14ac:dyDescent="0.35">
      <c r="B71" s="210" t="s">
        <v>86</v>
      </c>
      <c r="C71" s="211"/>
      <c r="D71" s="211"/>
      <c r="E71" s="103">
        <f>SUM(E69:E70)</f>
        <v>344.53239846977277</v>
      </c>
      <c r="F71" s="29"/>
      <c r="H71" s="43"/>
      <c r="I71" s="11"/>
      <c r="J71" s="11"/>
      <c r="K71" s="11"/>
      <c r="L71" s="11"/>
      <c r="M71" s="11"/>
    </row>
    <row r="72" spans="1:13" ht="12.75" customHeight="1" thickBot="1" x14ac:dyDescent="0.35">
      <c r="H72" s="43"/>
      <c r="I72" s="11"/>
      <c r="J72" s="11"/>
      <c r="K72" s="11"/>
      <c r="L72" s="11"/>
      <c r="M72" s="11"/>
    </row>
    <row r="73" spans="1:13" ht="14.25" customHeight="1" thickBot="1" x14ac:dyDescent="0.35">
      <c r="B73" s="194" t="s">
        <v>61</v>
      </c>
      <c r="C73" s="195"/>
      <c r="D73" s="195"/>
      <c r="E73" s="196"/>
      <c r="F73" s="20"/>
      <c r="H73" s="34"/>
      <c r="I73" s="11"/>
      <c r="J73" s="11"/>
      <c r="K73" s="11"/>
      <c r="L73" s="11"/>
      <c r="M73" s="11"/>
    </row>
    <row r="74" spans="1:13" ht="14.25" customHeight="1" x14ac:dyDescent="0.3">
      <c r="A74" s="2" t="s">
        <v>24</v>
      </c>
      <c r="B74" s="201" t="s">
        <v>104</v>
      </c>
      <c r="C74" s="202"/>
      <c r="D74" s="203"/>
      <c r="E74" s="57">
        <v>50</v>
      </c>
      <c r="F74" s="24"/>
      <c r="H74" s="11"/>
      <c r="I74" s="11"/>
      <c r="J74" s="11"/>
      <c r="K74" s="11"/>
      <c r="L74" s="11"/>
      <c r="M74" s="11"/>
    </row>
    <row r="75" spans="1:13" ht="14.25" customHeight="1" x14ac:dyDescent="0.3">
      <c r="A75" s="2" t="s">
        <v>26</v>
      </c>
      <c r="B75" s="25" t="s">
        <v>96</v>
      </c>
      <c r="C75" s="26"/>
      <c r="D75" s="44"/>
      <c r="E75" s="57">
        <v>0</v>
      </c>
      <c r="F75" s="24"/>
      <c r="H75" s="11"/>
      <c r="I75" s="11"/>
      <c r="J75" s="11"/>
      <c r="K75" s="11"/>
      <c r="L75" s="11"/>
      <c r="M75" s="11"/>
    </row>
    <row r="76" spans="1:13" ht="14.25" customHeight="1" x14ac:dyDescent="0.3">
      <c r="A76" s="2" t="s">
        <v>32</v>
      </c>
      <c r="B76" s="25" t="s">
        <v>62</v>
      </c>
      <c r="C76" s="26"/>
      <c r="D76" s="44"/>
      <c r="E76" s="57">
        <v>90</v>
      </c>
      <c r="F76" s="24"/>
      <c r="H76" s="11"/>
      <c r="I76" s="11"/>
      <c r="J76" s="11"/>
      <c r="K76" s="11"/>
      <c r="L76" s="11"/>
      <c r="M76" s="11"/>
    </row>
    <row r="77" spans="1:13" ht="14.25" customHeight="1" x14ac:dyDescent="0.3">
      <c r="B77" s="25" t="s">
        <v>101</v>
      </c>
      <c r="C77" s="26"/>
      <c r="D77" s="44"/>
      <c r="E77" s="57">
        <v>0</v>
      </c>
      <c r="F77" s="24"/>
      <c r="H77" s="11"/>
      <c r="I77" s="11"/>
      <c r="J77" s="11"/>
      <c r="K77" s="11"/>
      <c r="L77" s="11"/>
      <c r="M77" s="11"/>
    </row>
    <row r="78" spans="1:13" ht="14.25" customHeight="1" x14ac:dyDescent="0.3">
      <c r="B78" s="25" t="s">
        <v>97</v>
      </c>
      <c r="C78" s="26"/>
      <c r="D78" s="44"/>
      <c r="E78" s="57">
        <v>0</v>
      </c>
      <c r="F78" s="24"/>
      <c r="H78" s="11"/>
      <c r="I78" s="11"/>
      <c r="J78" s="11"/>
      <c r="K78" s="11"/>
      <c r="L78" s="11"/>
      <c r="M78" s="11"/>
    </row>
    <row r="79" spans="1:13" ht="14.25" customHeight="1" x14ac:dyDescent="0.3">
      <c r="A79" s="2" t="s">
        <v>34</v>
      </c>
      <c r="B79" s="25" t="s">
        <v>166</v>
      </c>
      <c r="C79" s="26"/>
      <c r="D79" s="44"/>
      <c r="E79" s="57">
        <v>0</v>
      </c>
      <c r="F79" s="24"/>
      <c r="H79" s="11"/>
      <c r="I79" s="11"/>
      <c r="J79" s="11"/>
      <c r="L79" s="11"/>
      <c r="M79" s="11"/>
    </row>
    <row r="80" spans="1:13" ht="14.25" customHeight="1" thickBot="1" x14ac:dyDescent="0.35">
      <c r="B80" s="191" t="s">
        <v>63</v>
      </c>
      <c r="C80" s="192"/>
      <c r="D80" s="193"/>
      <c r="E80" s="28">
        <f>SUM(E74:E79)</f>
        <v>140</v>
      </c>
      <c r="F80" s="29"/>
      <c r="H80" s="11"/>
      <c r="I80" s="11"/>
      <c r="J80" s="11"/>
      <c r="L80" s="11"/>
      <c r="M80" s="11"/>
    </row>
    <row r="81" spans="1:13" ht="14.25" customHeight="1" thickBot="1" x14ac:dyDescent="0.35">
      <c r="H81" s="11"/>
      <c r="I81" s="11"/>
      <c r="J81" s="11"/>
      <c r="L81" s="11"/>
      <c r="M81" s="11"/>
    </row>
    <row r="82" spans="1:13" ht="14.25" customHeight="1" thickBot="1" x14ac:dyDescent="0.35">
      <c r="B82" s="194" t="s">
        <v>64</v>
      </c>
      <c r="C82" s="195"/>
      <c r="D82" s="195"/>
      <c r="E82" s="196"/>
      <c r="F82" s="20"/>
      <c r="H82" s="11"/>
      <c r="I82" s="11"/>
      <c r="J82" s="11"/>
      <c r="L82" s="11"/>
      <c r="M82" s="11"/>
    </row>
    <row r="83" spans="1:13" ht="14.25" customHeight="1" x14ac:dyDescent="0.3">
      <c r="A83" s="2" t="s">
        <v>24</v>
      </c>
      <c r="B83" s="45" t="s">
        <v>65</v>
      </c>
      <c r="C83" s="46"/>
      <c r="D83" s="35">
        <f>'1'!D83</f>
        <v>0</v>
      </c>
      <c r="E83" s="57">
        <f>D83*(E80+E71+E59+E50+E25)</f>
        <v>0</v>
      </c>
      <c r="F83" s="32"/>
      <c r="H83" s="11"/>
      <c r="I83" s="161"/>
      <c r="J83" s="11"/>
      <c r="K83" s="54"/>
      <c r="L83" s="11"/>
      <c r="M83" s="11"/>
    </row>
    <row r="84" spans="1:13" ht="14.25" customHeight="1" x14ac:dyDescent="0.3">
      <c r="A84" s="2" t="s">
        <v>26</v>
      </c>
      <c r="B84" s="21" t="s">
        <v>66</v>
      </c>
      <c r="C84" s="22"/>
      <c r="D84" s="35">
        <f>'1'!D84</f>
        <v>-1.3677647119945452E-2</v>
      </c>
      <c r="E84" s="57">
        <f>D84*(E83+E80+E71+E59+E50+E25)</f>
        <v>-204.86769172069913</v>
      </c>
      <c r="F84" s="32"/>
      <c r="H84" s="34"/>
      <c r="I84" s="34"/>
      <c r="J84" s="11"/>
      <c r="K84" s="162"/>
      <c r="L84" s="11"/>
      <c r="M84" s="11"/>
    </row>
    <row r="85" spans="1:13" ht="14.25" customHeight="1" x14ac:dyDescent="0.3">
      <c r="B85" s="21" t="s">
        <v>67</v>
      </c>
      <c r="C85" s="22"/>
      <c r="D85" s="30">
        <v>6.5000000000000006E-3</v>
      </c>
      <c r="E85" s="57">
        <f>D85*(E84+E83+E80+E71+E59+E50+E25)</f>
        <v>96.027210141327629</v>
      </c>
      <c r="F85" s="32"/>
      <c r="H85" s="34"/>
      <c r="I85" s="34"/>
      <c r="J85" s="11"/>
      <c r="L85" s="11"/>
      <c r="M85" s="11"/>
    </row>
    <row r="86" spans="1:13" ht="14.25" customHeight="1" x14ac:dyDescent="0.3">
      <c r="B86" s="47" t="s">
        <v>68</v>
      </c>
      <c r="C86" s="48"/>
      <c r="D86" s="30">
        <v>0.03</v>
      </c>
      <c r="E86" s="57">
        <f>D86*(E83+E85+E84+E80+E71+E59+E50+E25)</f>
        <v>446.08332464882886</v>
      </c>
      <c r="F86" s="32"/>
      <c r="H86" s="11"/>
      <c r="I86" s="11"/>
      <c r="J86" s="11"/>
      <c r="L86" s="11"/>
      <c r="M86" s="11"/>
    </row>
    <row r="87" spans="1:13" ht="14.25" customHeight="1" x14ac:dyDescent="0.3">
      <c r="B87" s="21" t="s">
        <v>69</v>
      </c>
      <c r="C87" s="22"/>
      <c r="D87" s="35">
        <v>0.05</v>
      </c>
      <c r="E87" s="57">
        <f>D87*(E84+E83+E86+E85+E80+E71+E59+E50+E25)</f>
        <v>765.77637398048955</v>
      </c>
      <c r="F87" s="32"/>
      <c r="H87" s="11"/>
      <c r="I87" s="11"/>
      <c r="J87" s="11"/>
      <c r="L87" s="11"/>
      <c r="M87" s="11"/>
    </row>
    <row r="88" spans="1:13" ht="14.25" customHeight="1" x14ac:dyDescent="0.3">
      <c r="B88" s="25" t="s">
        <v>87</v>
      </c>
      <c r="C88" s="26"/>
      <c r="D88" s="35">
        <v>3.5999999999999997E-2</v>
      </c>
      <c r="E88" s="57">
        <f>D88*(E84+E85+E87+E86+E83+E71+E59+E50+E25)</f>
        <v>573.88693872925012</v>
      </c>
      <c r="F88" s="32"/>
      <c r="H88" s="11"/>
      <c r="I88" s="11"/>
      <c r="J88" s="11"/>
      <c r="L88" s="11"/>
      <c r="M88" s="11"/>
    </row>
    <row r="89" spans="1:13" ht="14.25" customHeight="1" thickBot="1" x14ac:dyDescent="0.35">
      <c r="B89" s="191" t="s">
        <v>70</v>
      </c>
      <c r="C89" s="192"/>
      <c r="D89" s="193"/>
      <c r="E89" s="49">
        <f>SUM(E83:E88)</f>
        <v>1676.906155779197</v>
      </c>
      <c r="F89" s="29"/>
      <c r="H89" s="11"/>
      <c r="I89" s="11"/>
      <c r="J89" s="11"/>
      <c r="L89" s="11"/>
      <c r="M89" s="11"/>
    </row>
    <row r="90" spans="1:13" ht="14.25" customHeight="1" thickBot="1" x14ac:dyDescent="0.35">
      <c r="H90" s="11"/>
      <c r="I90" s="11"/>
      <c r="L90" s="11"/>
      <c r="M90" s="11"/>
    </row>
    <row r="91" spans="1:13" ht="14.25" customHeight="1" thickBot="1" x14ac:dyDescent="0.35">
      <c r="B91" s="197" t="s">
        <v>71</v>
      </c>
      <c r="C91" s="198"/>
      <c r="D91" s="198"/>
      <c r="E91" s="50">
        <f>SUM(E89+E80+E71+E59+E50+E25)</f>
        <v>16655.190792319532</v>
      </c>
      <c r="F91" s="29"/>
      <c r="H91" s="54"/>
      <c r="J91" s="11"/>
      <c r="L91" s="11"/>
      <c r="M91" s="11"/>
    </row>
    <row r="92" spans="1:13" ht="14.25" customHeight="1" thickBot="1" x14ac:dyDescent="0.35">
      <c r="H92" s="11"/>
      <c r="I92" s="11"/>
    </row>
    <row r="93" spans="1:13" ht="14.25" customHeight="1" thickBot="1" x14ac:dyDescent="0.35">
      <c r="B93" s="199" t="s">
        <v>72</v>
      </c>
      <c r="C93" s="200"/>
      <c r="D93" s="200"/>
      <c r="E93" s="51">
        <f>E91*E13</f>
        <v>33310.381584639064</v>
      </c>
      <c r="F93" s="29"/>
      <c r="H93" s="54"/>
    </row>
    <row r="94" spans="1:13" ht="14.25" customHeight="1" x14ac:dyDescent="0.3">
      <c r="B94" s="10"/>
      <c r="C94" s="10"/>
      <c r="D94" s="52"/>
      <c r="E94" s="9"/>
      <c r="F94" s="53"/>
      <c r="G94" s="53"/>
      <c r="H94" s="53"/>
    </row>
    <row r="95" spans="1:13" ht="14.25" customHeight="1" x14ac:dyDescent="0.3"/>
  </sheetData>
  <mergeCells count="49">
    <mergeCell ref="B93:D93"/>
    <mergeCell ref="B73:E73"/>
    <mergeCell ref="B74:D74"/>
    <mergeCell ref="B80:D80"/>
    <mergeCell ref="B82:E82"/>
    <mergeCell ref="B89:D89"/>
    <mergeCell ref="B91:D91"/>
    <mergeCell ref="B71:D71"/>
    <mergeCell ref="H53:H54"/>
    <mergeCell ref="I53:I54"/>
    <mergeCell ref="H55:H57"/>
    <mergeCell ref="I55:I57"/>
    <mergeCell ref="B59:D59"/>
    <mergeCell ref="B61:E61"/>
    <mergeCell ref="B62:E62"/>
    <mergeCell ref="B63:C63"/>
    <mergeCell ref="H67:H68"/>
    <mergeCell ref="I67:I68"/>
    <mergeCell ref="B70:D70"/>
    <mergeCell ref="B52:E52"/>
    <mergeCell ref="B28:E28"/>
    <mergeCell ref="B34:E34"/>
    <mergeCell ref="H42:H44"/>
    <mergeCell ref="I42:I44"/>
    <mergeCell ref="B43:C43"/>
    <mergeCell ref="B44:E44"/>
    <mergeCell ref="B45:D45"/>
    <mergeCell ref="B46:D46"/>
    <mergeCell ref="B48:D48"/>
    <mergeCell ref="B49:D49"/>
    <mergeCell ref="B50:D50"/>
    <mergeCell ref="B27:E27"/>
    <mergeCell ref="B10:E10"/>
    <mergeCell ref="B11:C11"/>
    <mergeCell ref="B12:D12"/>
    <mergeCell ref="B13:C13"/>
    <mergeCell ref="B15:E15"/>
    <mergeCell ref="C16:D16"/>
    <mergeCell ref="C17:D17"/>
    <mergeCell ref="C18:D18"/>
    <mergeCell ref="C19:D19"/>
    <mergeCell ref="B21:E21"/>
    <mergeCell ref="B25:D25"/>
    <mergeCell ref="B8:D8"/>
    <mergeCell ref="B2:E2"/>
    <mergeCell ref="B4:E4"/>
    <mergeCell ref="B5:D5"/>
    <mergeCell ref="B6:D6"/>
    <mergeCell ref="B7:D7"/>
  </mergeCells>
  <phoneticPr fontId="9" type="noConversion"/>
  <dataValidations count="10">
    <dataValidation allowBlank="1" showInputMessage="1" showErrorMessage="1" errorTitle="Valor inválido" error="Mínimo aceito = 2%_x000a_Máximo aceito = 5%" sqref="D88" xr:uid="{BD31DD1F-C75E-4416-B672-85C2E40B487A}"/>
    <dataValidation operator="lessThanOrEqual" showInputMessage="1" errorTitle="Valor inválido" error="Máximo aceito = 5%" sqref="D83" xr:uid="{31266367-ED98-47DC-A4F8-15ECCF61F13E}"/>
    <dataValidation type="decimal" allowBlank="1" showInputMessage="1" showErrorMessage="1" errorTitle="Valor inválido" error="Mínimo aceito = 2%_x000a_Máximo aceito = 5%" sqref="D87" xr:uid="{E5ED1860-19FA-4FD8-B198-6206E2C3FD6C}">
      <formula1>0.02</formula1>
      <formula2>0.05</formula2>
    </dataValidation>
    <dataValidation type="decimal" operator="lessThanOrEqual" allowBlank="1" showInputMessage="1" showErrorMessage="1" errorTitle="Valor inválido" error="Máximo aceito = 6%" sqref="D41 D37" xr:uid="{2DE66E6B-4CB5-4D84-BEC0-96962ADD3471}">
      <formula1>0.06</formula1>
    </dataValidation>
    <dataValidation type="decimal" operator="lessThanOrEqual" allowBlank="1" showInputMessage="1" showErrorMessage="1" errorTitle="Valor inválido" error="Deve ser igual ou inferior a 2,00% (Ref.: IBGE)" sqref="I67" xr:uid="{9E838A60-1F73-4E62-9501-D05F8346A1B5}">
      <formula1>0.02</formula1>
    </dataValidation>
    <dataValidation type="decimal" operator="lessThanOrEqual" allowBlank="1" showInputMessage="1" showErrorMessage="1" errorTitle="Valor inválido" error="Deve ser igual ou inferior a 8,00% (Ref.: IBGE)" sqref="I66" xr:uid="{5B987A57-68ED-4A6C-BEBD-99CBB9D82F20}">
      <formula1>0.08</formula1>
    </dataValidation>
    <dataValidation type="decimal" operator="lessThanOrEqual" allowBlank="1" showInputMessage="1" showErrorMessage="1" errorTitle="Valor inválido" error="Deve ser igual ou inferior a 1,50% (Ref.: IBGE)" sqref="I65" xr:uid="{0B5E44FC-525E-44D5-AD0C-F5EC5BF895A2}">
      <formula1>0.015</formula1>
    </dataValidation>
    <dataValidation type="decimal" operator="lessThanOrEqual" allowBlank="1" showInputMessage="1" showErrorMessage="1" errorTitle="Valor inválido" error="Deve ser igual ou inferior a 5,55 (Ref.: TCU)" sqref="I53" xr:uid="{FC6D5B12-649B-4BF2-84E2-BE34B9252D3A}">
      <formula1>0.0555</formula1>
    </dataValidation>
    <dataValidation type="decimal" operator="lessThanOrEqual" allowBlank="1" showInputMessage="1" showErrorMessage="1" errorTitle="Valor inválido" error="Deve ser igual ou inferior a 5,96 (Ref.: IBGE)" sqref="I64" xr:uid="{66A72B44-2FF1-4F90-9A28-7DB9CCFFFD34}">
      <formula1>5.96</formula1>
    </dataValidation>
    <dataValidation type="list" allowBlank="1" showInputMessage="1" showErrorMessage="1" sqref="H13" xr:uid="{6294FF4B-3C50-4D2D-BFAD-561A296E95D3}">
      <formula1>$J$2:$J$3</formula1>
    </dataValidation>
  </dataValidations>
  <pageMargins left="0.511811024" right="0.511811024" top="0.78740157499999996" bottom="0.78740157499999996" header="0.31496062000000002" footer="0.31496062000000002"/>
  <pageSetup paperSize="9" scale="56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2C847-196F-4164-B17B-171FB24D2ED4}">
  <sheetPr codeName="Planilha27"/>
  <dimension ref="B2:K39"/>
  <sheetViews>
    <sheetView topLeftCell="A11" workbookViewId="0">
      <selection activeCell="G31" sqref="G31"/>
    </sheetView>
  </sheetViews>
  <sheetFormatPr defaultRowHeight="14.4" x14ac:dyDescent="0.3"/>
  <cols>
    <col min="2" max="2" width="62" bestFit="1" customWidth="1"/>
    <col min="3" max="3" width="12.44140625" bestFit="1" customWidth="1"/>
    <col min="4" max="4" width="9.5546875" customWidth="1"/>
    <col min="5" max="5" width="12.44140625" bestFit="1" customWidth="1"/>
    <col min="6" max="6" width="12.33203125" bestFit="1" customWidth="1"/>
    <col min="7" max="7" width="32.88671875" bestFit="1" customWidth="1"/>
    <col min="9" max="9" width="16.33203125" bestFit="1" customWidth="1"/>
    <col min="10" max="11" width="13.44140625" bestFit="1" customWidth="1"/>
  </cols>
  <sheetData>
    <row r="2" spans="2:7" ht="15" thickBot="1" x14ac:dyDescent="0.35"/>
    <row r="3" spans="2:7" x14ac:dyDescent="0.3">
      <c r="B3" s="256" t="s">
        <v>112</v>
      </c>
      <c r="C3" s="257"/>
      <c r="D3" s="257"/>
      <c r="E3" s="257"/>
      <c r="F3" s="257"/>
      <c r="G3" s="65" t="s">
        <v>223</v>
      </c>
    </row>
    <row r="4" spans="2:7" x14ac:dyDescent="0.3">
      <c r="B4" s="258" t="s">
        <v>113</v>
      </c>
      <c r="C4" s="259"/>
      <c r="D4" s="259"/>
      <c r="E4" s="259"/>
      <c r="F4" s="259"/>
      <c r="G4" s="66" t="s">
        <v>221</v>
      </c>
    </row>
    <row r="5" spans="2:7" x14ac:dyDescent="0.3">
      <c r="B5" s="258" t="s">
        <v>114</v>
      </c>
      <c r="C5" s="259"/>
      <c r="D5" s="259"/>
      <c r="E5" s="259"/>
      <c r="F5" s="259"/>
      <c r="G5" s="111" t="s">
        <v>222</v>
      </c>
    </row>
    <row r="6" spans="2:7" x14ac:dyDescent="0.3">
      <c r="B6" s="258" t="s">
        <v>115</v>
      </c>
      <c r="C6" s="259"/>
      <c r="D6" s="259"/>
      <c r="E6" s="259"/>
      <c r="F6" s="259"/>
      <c r="G6" s="111" t="s">
        <v>116</v>
      </c>
    </row>
    <row r="7" spans="2:7" x14ac:dyDescent="0.3">
      <c r="B7" s="258" t="s">
        <v>117</v>
      </c>
      <c r="C7" s="259"/>
      <c r="D7" s="259"/>
      <c r="E7" s="259"/>
      <c r="F7" s="259"/>
      <c r="G7" s="111" t="s">
        <v>118</v>
      </c>
    </row>
    <row r="8" spans="2:7" ht="15" thickBot="1" x14ac:dyDescent="0.35">
      <c r="B8" s="260" t="s">
        <v>91</v>
      </c>
      <c r="C8" s="261"/>
      <c r="D8" s="261"/>
      <c r="E8" s="261"/>
      <c r="F8" s="261"/>
      <c r="G8" s="112">
        <v>1</v>
      </c>
    </row>
    <row r="10" spans="2:7" x14ac:dyDescent="0.3">
      <c r="B10" s="251" t="s">
        <v>177</v>
      </c>
      <c r="C10" s="251"/>
      <c r="D10" s="251"/>
      <c r="E10" s="251"/>
      <c r="F10" s="251"/>
      <c r="G10" s="251"/>
    </row>
    <row r="11" spans="2:7" ht="15" thickBot="1" x14ac:dyDescent="0.35">
      <c r="B11" s="113"/>
      <c r="C11" s="113"/>
      <c r="D11" s="113"/>
      <c r="E11" s="113"/>
      <c r="F11" s="113"/>
      <c r="G11" s="113"/>
    </row>
    <row r="12" spans="2:7" ht="57.6" x14ac:dyDescent="0.3">
      <c r="B12" s="114" t="s">
        <v>178</v>
      </c>
      <c r="C12" s="115" t="s">
        <v>179</v>
      </c>
      <c r="D12" s="115" t="s">
        <v>180</v>
      </c>
      <c r="E12" s="115" t="s">
        <v>181</v>
      </c>
      <c r="F12" s="115" t="s">
        <v>182</v>
      </c>
      <c r="G12" s="116" t="s">
        <v>183</v>
      </c>
    </row>
    <row r="13" spans="2:7" x14ac:dyDescent="0.3">
      <c r="B13" s="128" t="s">
        <v>200</v>
      </c>
      <c r="C13" s="129" t="e">
        <f>#REF!</f>
        <v>#REF!</v>
      </c>
      <c r="D13" s="130">
        <v>1.995386030502641</v>
      </c>
      <c r="E13" s="129" t="e">
        <f>C13*D13</f>
        <v>#REF!</v>
      </c>
      <c r="F13" s="127">
        <v>2</v>
      </c>
      <c r="G13" s="131" t="e">
        <f>F13*E13</f>
        <v>#REF!</v>
      </c>
    </row>
    <row r="14" spans="2:7" x14ac:dyDescent="0.3">
      <c r="B14" s="128" t="s">
        <v>201</v>
      </c>
      <c r="C14" s="129" t="e">
        <f>#REF!</f>
        <v>#REF!</v>
      </c>
      <c r="D14" s="130">
        <v>1.7979874364259236</v>
      </c>
      <c r="E14" s="129" t="e">
        <f>C14*D14</f>
        <v>#REF!</v>
      </c>
      <c r="F14" s="127">
        <v>2</v>
      </c>
      <c r="G14" s="131" t="e">
        <f>F14*E14</f>
        <v>#REF!</v>
      </c>
    </row>
    <row r="15" spans="2:7" ht="15" thickBot="1" x14ac:dyDescent="0.35">
      <c r="B15" s="117"/>
      <c r="C15" s="118"/>
      <c r="D15" s="119"/>
      <c r="E15" s="120"/>
      <c r="F15" s="106"/>
      <c r="G15" s="120"/>
    </row>
    <row r="16" spans="2:7" ht="15" thickBot="1" x14ac:dyDescent="0.35">
      <c r="B16" s="248" t="s">
        <v>184</v>
      </c>
      <c r="C16" s="249"/>
      <c r="D16" s="249"/>
      <c r="E16" s="249"/>
      <c r="F16" s="249"/>
      <c r="G16" s="121" t="e">
        <f>SUM(G13:G14)</f>
        <v>#REF!</v>
      </c>
    </row>
    <row r="18" spans="2:7" x14ac:dyDescent="0.3">
      <c r="B18" s="251" t="s">
        <v>185</v>
      </c>
      <c r="C18" s="251"/>
      <c r="D18" s="251"/>
      <c r="E18" s="251"/>
      <c r="F18" s="251"/>
      <c r="G18" s="251"/>
    </row>
    <row r="19" spans="2:7" ht="15" thickBot="1" x14ac:dyDescent="0.35"/>
    <row r="20" spans="2:7" x14ac:dyDescent="0.3">
      <c r="B20" s="254" t="s">
        <v>121</v>
      </c>
      <c r="C20" s="255"/>
      <c r="D20" s="255"/>
      <c r="E20" s="255"/>
      <c r="F20" s="255"/>
      <c r="G20" s="122" t="s">
        <v>122</v>
      </c>
    </row>
    <row r="21" spans="2:7" x14ac:dyDescent="0.3">
      <c r="B21" s="250" t="s">
        <v>123</v>
      </c>
      <c r="C21" s="251"/>
      <c r="D21" s="251"/>
      <c r="E21" s="251"/>
      <c r="F21" s="251"/>
      <c r="G21" s="123">
        <v>0</v>
      </c>
    </row>
    <row r="22" spans="2:7" x14ac:dyDescent="0.3">
      <c r="B22" s="250" t="s">
        <v>224</v>
      </c>
      <c r="C22" s="251"/>
      <c r="D22" s="251"/>
      <c r="E22" s="251"/>
      <c r="F22" s="251"/>
      <c r="G22" s="123">
        <v>0</v>
      </c>
    </row>
    <row r="23" spans="2:7" x14ac:dyDescent="0.3">
      <c r="B23" s="250" t="s">
        <v>186</v>
      </c>
      <c r="C23" s="251"/>
      <c r="D23" s="251"/>
      <c r="E23" s="251"/>
      <c r="F23" s="251"/>
      <c r="G23" s="123">
        <v>0</v>
      </c>
    </row>
    <row r="24" spans="2:7" x14ac:dyDescent="0.3">
      <c r="B24" s="250" t="s">
        <v>125</v>
      </c>
      <c r="C24" s="251"/>
      <c r="D24" s="251"/>
      <c r="E24" s="251"/>
      <c r="F24" s="251"/>
      <c r="G24" s="123">
        <v>0</v>
      </c>
    </row>
    <row r="25" spans="2:7" ht="15" thickBot="1" x14ac:dyDescent="0.35">
      <c r="B25" s="252" t="s">
        <v>191</v>
      </c>
      <c r="C25" s="253"/>
      <c r="D25" s="253"/>
      <c r="E25" s="253"/>
      <c r="F25" s="253"/>
      <c r="G25" s="124">
        <v>0</v>
      </c>
    </row>
    <row r="26" spans="2:7" ht="15" thickBot="1" x14ac:dyDescent="0.35"/>
    <row r="27" spans="2:7" ht="15" thickBot="1" x14ac:dyDescent="0.35">
      <c r="B27" s="248" t="s">
        <v>187</v>
      </c>
      <c r="C27" s="249"/>
      <c r="D27" s="249"/>
      <c r="E27" s="249"/>
      <c r="F27" s="249"/>
      <c r="G27" s="125">
        <f>SUM(G21:G25)</f>
        <v>0</v>
      </c>
    </row>
    <row r="28" spans="2:7" ht="15" thickBot="1" x14ac:dyDescent="0.35"/>
    <row r="29" spans="2:7" x14ac:dyDescent="0.3">
      <c r="B29" s="254" t="s">
        <v>121</v>
      </c>
      <c r="C29" s="255"/>
      <c r="D29" s="255"/>
      <c r="E29" s="255"/>
      <c r="F29" s="255"/>
      <c r="G29" s="122" t="s">
        <v>122</v>
      </c>
    </row>
    <row r="30" spans="2:7" x14ac:dyDescent="0.3">
      <c r="B30" s="250" t="s">
        <v>188</v>
      </c>
      <c r="C30" s="251"/>
      <c r="D30" s="251"/>
      <c r="E30" s="251"/>
      <c r="F30" s="251"/>
      <c r="G30" s="123">
        <v>184.76616800000002</v>
      </c>
    </row>
    <row r="31" spans="2:7" x14ac:dyDescent="0.3">
      <c r="B31" s="250" t="s">
        <v>66</v>
      </c>
      <c r="C31" s="251"/>
      <c r="D31" s="251"/>
      <c r="E31" s="251"/>
      <c r="F31" s="251"/>
      <c r="G31" s="123">
        <v>271.86374933378931</v>
      </c>
    </row>
    <row r="32" spans="2:7" x14ac:dyDescent="0.3">
      <c r="B32" s="250" t="s">
        <v>102</v>
      </c>
      <c r="C32" s="251"/>
      <c r="D32" s="251"/>
      <c r="E32" s="251"/>
      <c r="F32" s="251"/>
      <c r="G32" s="123">
        <v>2134.35</v>
      </c>
    </row>
    <row r="33" spans="2:11" ht="15" thickBot="1" x14ac:dyDescent="0.35">
      <c r="B33" s="252" t="s">
        <v>127</v>
      </c>
      <c r="C33" s="253"/>
      <c r="D33" s="253"/>
      <c r="E33" s="253"/>
      <c r="F33" s="253"/>
      <c r="G33" s="124">
        <v>0</v>
      </c>
      <c r="K33" s="69"/>
    </row>
    <row r="34" spans="2:11" ht="15" thickBot="1" x14ac:dyDescent="0.35">
      <c r="J34" s="60"/>
    </row>
    <row r="35" spans="2:11" ht="15" thickBot="1" x14ac:dyDescent="0.35">
      <c r="B35" s="248" t="s">
        <v>189</v>
      </c>
      <c r="C35" s="249"/>
      <c r="D35" s="249"/>
      <c r="E35" s="249"/>
      <c r="F35" s="249"/>
      <c r="G35" s="125">
        <f>SUM(G30:G33)</f>
        <v>2590.9799173337892</v>
      </c>
    </row>
    <row r="36" spans="2:11" ht="15" thickBot="1" x14ac:dyDescent="0.35">
      <c r="J36" s="60"/>
    </row>
    <row r="37" spans="2:11" ht="15" thickBot="1" x14ac:dyDescent="0.35">
      <c r="B37" s="248" t="s">
        <v>110</v>
      </c>
      <c r="C37" s="249"/>
      <c r="D37" s="249"/>
      <c r="E37" s="249"/>
      <c r="F37" s="249"/>
      <c r="G37" s="125" t="e">
        <f>G16+G27+G35</f>
        <v>#REF!</v>
      </c>
      <c r="I37" s="126" t="e">
        <f>G37/2</f>
        <v>#REF!</v>
      </c>
      <c r="K37" s="107"/>
    </row>
    <row r="38" spans="2:11" ht="15" thickBot="1" x14ac:dyDescent="0.35"/>
    <row r="39" spans="2:11" ht="15" thickBot="1" x14ac:dyDescent="0.35">
      <c r="B39" s="248" t="s">
        <v>190</v>
      </c>
      <c r="C39" s="249"/>
      <c r="D39" s="249"/>
      <c r="E39" s="249"/>
      <c r="F39" s="249"/>
      <c r="G39" s="125" t="e">
        <f>G37*12</f>
        <v>#REF!</v>
      </c>
    </row>
  </sheetData>
  <mergeCells count="24">
    <mergeCell ref="B22:F22"/>
    <mergeCell ref="B3:F3"/>
    <mergeCell ref="B4:F4"/>
    <mergeCell ref="B5:F5"/>
    <mergeCell ref="B6:F6"/>
    <mergeCell ref="B7:F7"/>
    <mergeCell ref="B8:F8"/>
    <mergeCell ref="B10:G10"/>
    <mergeCell ref="B16:F16"/>
    <mergeCell ref="B18:G18"/>
    <mergeCell ref="B20:F20"/>
    <mergeCell ref="B21:F21"/>
    <mergeCell ref="B39:F39"/>
    <mergeCell ref="B23:F23"/>
    <mergeCell ref="B24:F24"/>
    <mergeCell ref="B25:F25"/>
    <mergeCell ref="B27:F27"/>
    <mergeCell ref="B29:F29"/>
    <mergeCell ref="B30:F30"/>
    <mergeCell ref="B31:F31"/>
    <mergeCell ref="B32:F32"/>
    <mergeCell ref="B33:F33"/>
    <mergeCell ref="B35:F35"/>
    <mergeCell ref="B37:F3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98709-890A-4BA7-9140-EDF1A053664A}">
  <sheetPr codeName="Planilha28"/>
  <dimension ref="B2:K40"/>
  <sheetViews>
    <sheetView topLeftCell="A12" workbookViewId="0">
      <selection activeCell="G31" sqref="G31"/>
    </sheetView>
  </sheetViews>
  <sheetFormatPr defaultRowHeight="14.4" x14ac:dyDescent="0.3"/>
  <cols>
    <col min="2" max="2" width="62" bestFit="1" customWidth="1"/>
    <col min="3" max="3" width="12.44140625" bestFit="1" customWidth="1"/>
    <col min="4" max="4" width="9.5546875" customWidth="1"/>
    <col min="5" max="5" width="11.5546875" bestFit="1" customWidth="1"/>
    <col min="6" max="6" width="12.33203125" bestFit="1" customWidth="1"/>
    <col min="7" max="7" width="32.88671875" bestFit="1" customWidth="1"/>
    <col min="9" max="9" width="16.33203125" bestFit="1" customWidth="1"/>
    <col min="10" max="11" width="13.44140625" bestFit="1" customWidth="1"/>
  </cols>
  <sheetData>
    <row r="2" spans="2:7" ht="15" thickBot="1" x14ac:dyDescent="0.35"/>
    <row r="3" spans="2:7" x14ac:dyDescent="0.3">
      <c r="B3" s="256" t="s">
        <v>112</v>
      </c>
      <c r="C3" s="257"/>
      <c r="D3" s="257"/>
      <c r="E3" s="257"/>
      <c r="F3" s="257"/>
      <c r="G3" s="65" t="s">
        <v>223</v>
      </c>
    </row>
    <row r="4" spans="2:7" x14ac:dyDescent="0.3">
      <c r="B4" s="258" t="s">
        <v>113</v>
      </c>
      <c r="C4" s="259"/>
      <c r="D4" s="259"/>
      <c r="E4" s="259"/>
      <c r="F4" s="259"/>
      <c r="G4" s="66" t="s">
        <v>221</v>
      </c>
    </row>
    <row r="5" spans="2:7" x14ac:dyDescent="0.3">
      <c r="B5" s="258" t="s">
        <v>114</v>
      </c>
      <c r="C5" s="259"/>
      <c r="D5" s="259"/>
      <c r="E5" s="259"/>
      <c r="F5" s="259"/>
      <c r="G5" s="111" t="s">
        <v>222</v>
      </c>
    </row>
    <row r="6" spans="2:7" x14ac:dyDescent="0.3">
      <c r="B6" s="258" t="s">
        <v>115</v>
      </c>
      <c r="C6" s="259"/>
      <c r="D6" s="259"/>
      <c r="E6" s="259"/>
      <c r="F6" s="259"/>
      <c r="G6" s="111" t="s">
        <v>116</v>
      </c>
    </row>
    <row r="7" spans="2:7" x14ac:dyDescent="0.3">
      <c r="B7" s="258" t="s">
        <v>117</v>
      </c>
      <c r="C7" s="259"/>
      <c r="D7" s="259"/>
      <c r="E7" s="259"/>
      <c r="F7" s="259"/>
      <c r="G7" s="111" t="s">
        <v>118</v>
      </c>
    </row>
    <row r="8" spans="2:7" ht="15" thickBot="1" x14ac:dyDescent="0.35">
      <c r="B8" s="260" t="s">
        <v>91</v>
      </c>
      <c r="C8" s="261"/>
      <c r="D8" s="261"/>
      <c r="E8" s="261"/>
      <c r="F8" s="261"/>
      <c r="G8" s="112">
        <v>2</v>
      </c>
    </row>
    <row r="10" spans="2:7" x14ac:dyDescent="0.3">
      <c r="B10" s="251" t="s">
        <v>177</v>
      </c>
      <c r="C10" s="251"/>
      <c r="D10" s="251"/>
      <c r="E10" s="251"/>
      <c r="F10" s="251"/>
      <c r="G10" s="251"/>
    </row>
    <row r="11" spans="2:7" ht="15" thickBot="1" x14ac:dyDescent="0.35">
      <c r="B11" s="113"/>
      <c r="C11" s="113"/>
      <c r="D11" s="113"/>
      <c r="E11" s="113"/>
      <c r="F11" s="113"/>
      <c r="G11" s="113"/>
    </row>
    <row r="12" spans="2:7" ht="58.2" thickBot="1" x14ac:dyDescent="0.35">
      <c r="B12" s="144" t="s">
        <v>178</v>
      </c>
      <c r="C12" s="145" t="s">
        <v>179</v>
      </c>
      <c r="D12" s="145" t="s">
        <v>180</v>
      </c>
      <c r="E12" s="145" t="s">
        <v>181</v>
      </c>
      <c r="F12" s="145" t="s">
        <v>182</v>
      </c>
      <c r="G12" s="146" t="s">
        <v>183</v>
      </c>
    </row>
    <row r="13" spans="2:7" x14ac:dyDescent="0.3">
      <c r="B13" s="128" t="s">
        <v>204</v>
      </c>
      <c r="C13" s="129" t="e">
        <f>#REF!</f>
        <v>#REF!</v>
      </c>
      <c r="D13" s="130">
        <v>2.0207216494845364</v>
      </c>
      <c r="E13" s="147" t="e">
        <f>C13*D13</f>
        <v>#REF!</v>
      </c>
      <c r="F13" s="127">
        <v>10</v>
      </c>
      <c r="G13" s="148" t="e">
        <f>F13*E13</f>
        <v>#REF!</v>
      </c>
    </row>
    <row r="14" spans="2:7" x14ac:dyDescent="0.3">
      <c r="B14" s="142" t="s">
        <v>202</v>
      </c>
      <c r="C14" s="152" t="e">
        <f>#REF!</f>
        <v>#REF!</v>
      </c>
      <c r="D14" s="153">
        <v>1.9007033121795809</v>
      </c>
      <c r="E14" s="154" t="e">
        <f>C14*D14</f>
        <v>#REF!</v>
      </c>
      <c r="F14" s="109">
        <v>6</v>
      </c>
      <c r="G14" s="155" t="e">
        <f>F14*E14</f>
        <v>#REF!</v>
      </c>
    </row>
    <row r="15" spans="2:7" ht="15" thickBot="1" x14ac:dyDescent="0.35">
      <c r="B15" s="143" t="s">
        <v>203</v>
      </c>
      <c r="C15" s="156" t="e">
        <f>#REF!</f>
        <v>#REF!</v>
      </c>
      <c r="D15" s="157">
        <v>1.6451022222222222</v>
      </c>
      <c r="E15" s="158" t="e">
        <f t="shared" ref="E15" si="0">C15*D15</f>
        <v>#REF!</v>
      </c>
      <c r="F15" s="159">
        <v>1</v>
      </c>
      <c r="G15" s="160" t="e">
        <f t="shared" ref="G15" si="1">F15*E15</f>
        <v>#REF!</v>
      </c>
    </row>
    <row r="16" spans="2:7" ht="15" thickBot="1" x14ac:dyDescent="0.35">
      <c r="B16" s="135"/>
      <c r="C16" s="136"/>
      <c r="D16" s="137"/>
      <c r="E16" s="136"/>
      <c r="F16" s="138"/>
      <c r="G16" s="139"/>
    </row>
    <row r="17" spans="2:9" ht="15" thickBot="1" x14ac:dyDescent="0.35">
      <c r="B17" s="248" t="s">
        <v>184</v>
      </c>
      <c r="C17" s="249"/>
      <c r="D17" s="249"/>
      <c r="E17" s="249"/>
      <c r="F17" s="249"/>
      <c r="G17" s="151" t="e">
        <f>SUM(G13:G15)</f>
        <v>#REF!</v>
      </c>
      <c r="I17" s="91"/>
    </row>
    <row r="18" spans="2:9" x14ac:dyDescent="0.3">
      <c r="I18" s="60"/>
    </row>
    <row r="19" spans="2:9" x14ac:dyDescent="0.3">
      <c r="B19" s="251" t="s">
        <v>185</v>
      </c>
      <c r="C19" s="251"/>
      <c r="D19" s="251"/>
      <c r="E19" s="251"/>
      <c r="F19" s="251"/>
      <c r="G19" s="251"/>
    </row>
    <row r="20" spans="2:9" ht="15" thickBot="1" x14ac:dyDescent="0.35">
      <c r="I20" s="60"/>
    </row>
    <row r="21" spans="2:9" x14ac:dyDescent="0.3">
      <c r="B21" s="254" t="s">
        <v>121</v>
      </c>
      <c r="C21" s="255"/>
      <c r="D21" s="255"/>
      <c r="E21" s="255"/>
      <c r="F21" s="255"/>
      <c r="G21" s="122" t="s">
        <v>122</v>
      </c>
    </row>
    <row r="22" spans="2:9" x14ac:dyDescent="0.3">
      <c r="B22" s="250" t="s">
        <v>123</v>
      </c>
      <c r="C22" s="251"/>
      <c r="D22" s="251"/>
      <c r="E22" s="251"/>
      <c r="F22" s="251"/>
      <c r="G22" s="123">
        <v>0</v>
      </c>
    </row>
    <row r="23" spans="2:9" x14ac:dyDescent="0.3">
      <c r="B23" s="250" t="s">
        <v>224</v>
      </c>
      <c r="C23" s="251"/>
      <c r="D23" s="251"/>
      <c r="E23" s="251"/>
      <c r="F23" s="251"/>
      <c r="G23" s="123">
        <v>0</v>
      </c>
      <c r="I23" s="60">
        <f>G23/SUM(F13:F15)</f>
        <v>0</v>
      </c>
    </row>
    <row r="24" spans="2:9" x14ac:dyDescent="0.3">
      <c r="B24" s="250" t="s">
        <v>186</v>
      </c>
      <c r="C24" s="251"/>
      <c r="D24" s="251"/>
      <c r="E24" s="251"/>
      <c r="F24" s="251"/>
      <c r="G24" s="123">
        <v>0</v>
      </c>
      <c r="I24" s="60">
        <f>G24/SUM(F13:F15)</f>
        <v>0</v>
      </c>
    </row>
    <row r="25" spans="2:9" x14ac:dyDescent="0.3">
      <c r="B25" s="250" t="s">
        <v>125</v>
      </c>
      <c r="C25" s="251"/>
      <c r="D25" s="251"/>
      <c r="E25" s="251"/>
      <c r="F25" s="251"/>
      <c r="G25" s="123">
        <v>0</v>
      </c>
    </row>
    <row r="26" spans="2:9" ht="15" thickBot="1" x14ac:dyDescent="0.35">
      <c r="B26" s="252" t="s">
        <v>191</v>
      </c>
      <c r="C26" s="253"/>
      <c r="D26" s="253"/>
      <c r="E26" s="253"/>
      <c r="F26" s="253"/>
      <c r="G26" s="124">
        <v>0</v>
      </c>
    </row>
    <row r="27" spans="2:9" ht="15" thickBot="1" x14ac:dyDescent="0.35"/>
    <row r="28" spans="2:9" ht="15" thickBot="1" x14ac:dyDescent="0.35">
      <c r="B28" s="248" t="s">
        <v>187</v>
      </c>
      <c r="C28" s="249"/>
      <c r="D28" s="249"/>
      <c r="E28" s="249"/>
      <c r="F28" s="249"/>
      <c r="G28" s="125">
        <f>SUM(G22:G26)</f>
        <v>0</v>
      </c>
    </row>
    <row r="29" spans="2:9" ht="15" thickBot="1" x14ac:dyDescent="0.35"/>
    <row r="30" spans="2:9" x14ac:dyDescent="0.3">
      <c r="B30" s="254" t="s">
        <v>121</v>
      </c>
      <c r="C30" s="255"/>
      <c r="D30" s="255"/>
      <c r="E30" s="255"/>
      <c r="F30" s="255"/>
      <c r="G30" s="122" t="s">
        <v>122</v>
      </c>
    </row>
    <row r="31" spans="2:9" x14ac:dyDescent="0.3">
      <c r="B31" s="250" t="s">
        <v>188</v>
      </c>
      <c r="C31" s="251"/>
      <c r="D31" s="251"/>
      <c r="E31" s="251"/>
      <c r="F31" s="251"/>
      <c r="G31" s="123">
        <v>738.96811600000012</v>
      </c>
      <c r="I31" s="60"/>
    </row>
    <row r="32" spans="2:9" x14ac:dyDescent="0.3">
      <c r="B32" s="250" t="s">
        <v>66</v>
      </c>
      <c r="C32" s="251"/>
      <c r="D32" s="251"/>
      <c r="E32" s="251"/>
      <c r="F32" s="251"/>
      <c r="G32" s="123">
        <v>1087.3129254587698</v>
      </c>
    </row>
    <row r="33" spans="2:11" x14ac:dyDescent="0.3">
      <c r="B33" s="250" t="s">
        <v>102</v>
      </c>
      <c r="C33" s="251"/>
      <c r="D33" s="251"/>
      <c r="E33" s="251"/>
      <c r="F33" s="251"/>
      <c r="G33" s="123">
        <v>26565.98</v>
      </c>
    </row>
    <row r="34" spans="2:11" ht="15" thickBot="1" x14ac:dyDescent="0.35">
      <c r="B34" s="252" t="s">
        <v>127</v>
      </c>
      <c r="C34" s="253"/>
      <c r="D34" s="253"/>
      <c r="E34" s="253"/>
      <c r="F34" s="253"/>
      <c r="G34" s="124">
        <v>0</v>
      </c>
      <c r="K34" s="69"/>
    </row>
    <row r="35" spans="2:11" ht="15" thickBot="1" x14ac:dyDescent="0.35"/>
    <row r="36" spans="2:11" ht="15" thickBot="1" x14ac:dyDescent="0.35">
      <c r="B36" s="248" t="s">
        <v>189</v>
      </c>
      <c r="C36" s="249"/>
      <c r="D36" s="249"/>
      <c r="E36" s="249"/>
      <c r="F36" s="249"/>
      <c r="G36" s="125">
        <f>SUM(G31:G34)</f>
        <v>28392.261041458769</v>
      </c>
      <c r="J36" s="60"/>
    </row>
    <row r="37" spans="2:11" ht="15" thickBot="1" x14ac:dyDescent="0.35"/>
    <row r="38" spans="2:11" ht="15" thickBot="1" x14ac:dyDescent="0.35">
      <c r="B38" s="248" t="s">
        <v>110</v>
      </c>
      <c r="C38" s="249"/>
      <c r="D38" s="249"/>
      <c r="E38" s="249"/>
      <c r="F38" s="249"/>
      <c r="G38" s="125" t="e">
        <f>G17+G28+G36</f>
        <v>#REF!</v>
      </c>
      <c r="I38" s="126"/>
      <c r="J38" s="60"/>
      <c r="K38" s="107"/>
    </row>
    <row r="39" spans="2:11" ht="15" thickBot="1" x14ac:dyDescent="0.35"/>
    <row r="40" spans="2:11" ht="15" thickBot="1" x14ac:dyDescent="0.35">
      <c r="B40" s="248" t="s">
        <v>190</v>
      </c>
      <c r="C40" s="249"/>
      <c r="D40" s="249"/>
      <c r="E40" s="249"/>
      <c r="F40" s="249"/>
      <c r="G40" s="125" t="e">
        <f>G38*12</f>
        <v>#REF!</v>
      </c>
    </row>
  </sheetData>
  <mergeCells count="24">
    <mergeCell ref="B23:F23"/>
    <mergeCell ref="B3:F3"/>
    <mergeCell ref="B4:F4"/>
    <mergeCell ref="B5:F5"/>
    <mergeCell ref="B6:F6"/>
    <mergeCell ref="B7:F7"/>
    <mergeCell ref="B8:F8"/>
    <mergeCell ref="B10:G10"/>
    <mergeCell ref="B17:F17"/>
    <mergeCell ref="B19:G19"/>
    <mergeCell ref="B21:F21"/>
    <mergeCell ref="B22:F22"/>
    <mergeCell ref="B40:F40"/>
    <mergeCell ref="B24:F24"/>
    <mergeCell ref="B25:F25"/>
    <mergeCell ref="B26:F26"/>
    <mergeCell ref="B28:F28"/>
    <mergeCell ref="B30:F30"/>
    <mergeCell ref="B31:F31"/>
    <mergeCell ref="B32:F32"/>
    <mergeCell ref="B33:F33"/>
    <mergeCell ref="B34:F34"/>
    <mergeCell ref="B36:F36"/>
    <mergeCell ref="B38:F3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33ED1-3F43-498B-9A2F-4CE8AE4D65CD}">
  <sheetPr codeName="Planilha30"/>
  <dimension ref="B2:K39"/>
  <sheetViews>
    <sheetView topLeftCell="A9" workbookViewId="0">
      <selection activeCell="G31" sqref="G31"/>
    </sheetView>
  </sheetViews>
  <sheetFormatPr defaultRowHeight="14.4" x14ac:dyDescent="0.3"/>
  <cols>
    <col min="2" max="2" width="62" bestFit="1" customWidth="1"/>
    <col min="3" max="3" width="12.44140625" bestFit="1" customWidth="1"/>
    <col min="4" max="4" width="9.5546875" customWidth="1"/>
    <col min="5" max="5" width="11.5546875" bestFit="1" customWidth="1"/>
    <col min="6" max="6" width="12.33203125" bestFit="1" customWidth="1"/>
    <col min="7" max="7" width="32.88671875" bestFit="1" customWidth="1"/>
    <col min="9" max="9" width="16.33203125" bestFit="1" customWidth="1"/>
    <col min="10" max="11" width="13.44140625" bestFit="1" customWidth="1"/>
  </cols>
  <sheetData>
    <row r="2" spans="2:9" ht="15" thickBot="1" x14ac:dyDescent="0.35"/>
    <row r="3" spans="2:9" x14ac:dyDescent="0.3">
      <c r="B3" s="256" t="s">
        <v>112</v>
      </c>
      <c r="C3" s="257"/>
      <c r="D3" s="257"/>
      <c r="E3" s="257"/>
      <c r="F3" s="257"/>
      <c r="G3" s="65" t="s">
        <v>223</v>
      </c>
    </row>
    <row r="4" spans="2:9" x14ac:dyDescent="0.3">
      <c r="B4" s="258" t="s">
        <v>113</v>
      </c>
      <c r="C4" s="259"/>
      <c r="D4" s="259"/>
      <c r="E4" s="259"/>
      <c r="F4" s="259"/>
      <c r="G4" s="66" t="s">
        <v>221</v>
      </c>
    </row>
    <row r="5" spans="2:9" x14ac:dyDescent="0.3">
      <c r="B5" s="258" t="s">
        <v>114</v>
      </c>
      <c r="C5" s="259"/>
      <c r="D5" s="259"/>
      <c r="E5" s="259"/>
      <c r="F5" s="259"/>
      <c r="G5" s="111" t="s">
        <v>222</v>
      </c>
    </row>
    <row r="6" spans="2:9" x14ac:dyDescent="0.3">
      <c r="B6" s="258" t="s">
        <v>115</v>
      </c>
      <c r="C6" s="259"/>
      <c r="D6" s="259"/>
      <c r="E6" s="259"/>
      <c r="F6" s="259"/>
      <c r="G6" s="111" t="s">
        <v>116</v>
      </c>
    </row>
    <row r="7" spans="2:9" x14ac:dyDescent="0.3">
      <c r="B7" s="258" t="s">
        <v>117</v>
      </c>
      <c r="C7" s="259"/>
      <c r="D7" s="259"/>
      <c r="E7" s="259"/>
      <c r="F7" s="259"/>
      <c r="G7" s="111" t="s">
        <v>118</v>
      </c>
    </row>
    <row r="8" spans="2:9" ht="15" thickBot="1" x14ac:dyDescent="0.35">
      <c r="B8" s="260" t="s">
        <v>91</v>
      </c>
      <c r="C8" s="261"/>
      <c r="D8" s="261"/>
      <c r="E8" s="261"/>
      <c r="F8" s="261"/>
      <c r="G8" s="112">
        <v>2</v>
      </c>
    </row>
    <row r="10" spans="2:9" x14ac:dyDescent="0.3">
      <c r="B10" s="251" t="s">
        <v>177</v>
      </c>
      <c r="C10" s="251"/>
      <c r="D10" s="251"/>
      <c r="E10" s="251"/>
      <c r="F10" s="251"/>
      <c r="G10" s="251"/>
    </row>
    <row r="11" spans="2:9" ht="15" thickBot="1" x14ac:dyDescent="0.35">
      <c r="B11" s="113"/>
      <c r="C11" s="113"/>
      <c r="D11" s="113"/>
      <c r="E11" s="113"/>
      <c r="F11" s="113"/>
      <c r="G11" s="113"/>
    </row>
    <row r="12" spans="2:9" ht="57.6" x14ac:dyDescent="0.3">
      <c r="B12" s="114" t="s">
        <v>178</v>
      </c>
      <c r="C12" s="115" t="s">
        <v>179</v>
      </c>
      <c r="D12" s="115" t="s">
        <v>180</v>
      </c>
      <c r="E12" s="115" t="s">
        <v>181</v>
      </c>
      <c r="F12" s="115" t="s">
        <v>182</v>
      </c>
      <c r="G12" s="116" t="s">
        <v>183</v>
      </c>
    </row>
    <row r="13" spans="2:9" ht="15" thickBot="1" x14ac:dyDescent="0.35">
      <c r="B13" s="140" t="s">
        <v>225</v>
      </c>
      <c r="C13" s="129" t="e">
        <f>#REF!</f>
        <v>#REF!</v>
      </c>
      <c r="D13" s="130">
        <v>2.002005</v>
      </c>
      <c r="E13" s="149" t="e">
        <f>C13*D13</f>
        <v>#REF!</v>
      </c>
      <c r="F13" s="141">
        <v>38</v>
      </c>
      <c r="G13" s="150" t="e">
        <f>F13*E13</f>
        <v>#REF!</v>
      </c>
    </row>
    <row r="15" spans="2:9" ht="15" thickBot="1" x14ac:dyDescent="0.35">
      <c r="B15" s="135"/>
      <c r="C15" s="136"/>
      <c r="D15" s="137"/>
      <c r="E15" s="136"/>
      <c r="F15" s="138"/>
      <c r="G15" s="139"/>
    </row>
    <row r="16" spans="2:9" ht="15" thickBot="1" x14ac:dyDescent="0.35">
      <c r="B16" s="248" t="s">
        <v>184</v>
      </c>
      <c r="C16" s="249"/>
      <c r="D16" s="249"/>
      <c r="E16" s="249"/>
      <c r="F16" s="249"/>
      <c r="G16" s="151">
        <f>SUM(G14:G14)</f>
        <v>0</v>
      </c>
      <c r="I16" s="91"/>
    </row>
    <row r="17" spans="2:9" x14ac:dyDescent="0.3">
      <c r="I17" s="60"/>
    </row>
    <row r="18" spans="2:9" x14ac:dyDescent="0.3">
      <c r="B18" s="251" t="s">
        <v>185</v>
      </c>
      <c r="C18" s="251"/>
      <c r="D18" s="251"/>
      <c r="E18" s="251"/>
      <c r="F18" s="251"/>
      <c r="G18" s="251"/>
    </row>
    <row r="19" spans="2:9" ht="15" thickBot="1" x14ac:dyDescent="0.35">
      <c r="I19" s="60"/>
    </row>
    <row r="20" spans="2:9" x14ac:dyDescent="0.3">
      <c r="B20" s="254" t="s">
        <v>121</v>
      </c>
      <c r="C20" s="255"/>
      <c r="D20" s="255"/>
      <c r="E20" s="255"/>
      <c r="F20" s="255"/>
      <c r="G20" s="122" t="s">
        <v>122</v>
      </c>
    </row>
    <row r="21" spans="2:9" x14ac:dyDescent="0.3">
      <c r="B21" s="250" t="s">
        <v>123</v>
      </c>
      <c r="C21" s="251"/>
      <c r="D21" s="251"/>
      <c r="E21" s="251"/>
      <c r="F21" s="251"/>
      <c r="G21" s="123">
        <v>0</v>
      </c>
    </row>
    <row r="22" spans="2:9" x14ac:dyDescent="0.3">
      <c r="B22" s="250" t="s">
        <v>224</v>
      </c>
      <c r="C22" s="251"/>
      <c r="D22" s="251"/>
      <c r="E22" s="251"/>
      <c r="F22" s="251"/>
      <c r="G22" s="123">
        <v>0</v>
      </c>
      <c r="I22" s="60"/>
    </row>
    <row r="23" spans="2:9" x14ac:dyDescent="0.3">
      <c r="B23" s="250" t="s">
        <v>186</v>
      </c>
      <c r="C23" s="251"/>
      <c r="D23" s="251"/>
      <c r="E23" s="251"/>
      <c r="F23" s="251"/>
      <c r="G23" s="123">
        <v>0</v>
      </c>
      <c r="I23" s="60"/>
    </row>
    <row r="24" spans="2:9" x14ac:dyDescent="0.3">
      <c r="B24" s="250" t="s">
        <v>125</v>
      </c>
      <c r="C24" s="251"/>
      <c r="D24" s="251"/>
      <c r="E24" s="251"/>
      <c r="F24" s="251"/>
      <c r="G24" s="123">
        <v>0</v>
      </c>
    </row>
    <row r="25" spans="2:9" ht="15" thickBot="1" x14ac:dyDescent="0.35">
      <c r="B25" s="252" t="s">
        <v>191</v>
      </c>
      <c r="C25" s="253"/>
      <c r="D25" s="253"/>
      <c r="E25" s="253"/>
      <c r="F25" s="253"/>
      <c r="G25" s="124">
        <v>0</v>
      </c>
    </row>
    <row r="26" spans="2:9" ht="15" thickBot="1" x14ac:dyDescent="0.35"/>
    <row r="27" spans="2:9" ht="15" thickBot="1" x14ac:dyDescent="0.35">
      <c r="B27" s="248" t="s">
        <v>187</v>
      </c>
      <c r="C27" s="249"/>
      <c r="D27" s="249"/>
      <c r="E27" s="249"/>
      <c r="F27" s="249"/>
      <c r="G27" s="125">
        <f>SUM(G21:G25)</f>
        <v>0</v>
      </c>
    </row>
    <row r="28" spans="2:9" ht="15" thickBot="1" x14ac:dyDescent="0.35"/>
    <row r="29" spans="2:9" x14ac:dyDescent="0.3">
      <c r="B29" s="254" t="s">
        <v>121</v>
      </c>
      <c r="C29" s="255"/>
      <c r="D29" s="255"/>
      <c r="E29" s="255"/>
      <c r="F29" s="255"/>
      <c r="G29" s="122" t="s">
        <v>122</v>
      </c>
    </row>
    <row r="30" spans="2:9" x14ac:dyDescent="0.3">
      <c r="B30" s="250" t="s">
        <v>188</v>
      </c>
      <c r="C30" s="251"/>
      <c r="D30" s="251"/>
      <c r="E30" s="251"/>
      <c r="F30" s="251"/>
      <c r="G30" s="123">
        <v>1536.7390379999999</v>
      </c>
      <c r="I30" s="60"/>
    </row>
    <row r="31" spans="2:9" x14ac:dyDescent="0.3">
      <c r="B31" s="250" t="s">
        <v>66</v>
      </c>
      <c r="C31" s="251"/>
      <c r="D31" s="251"/>
      <c r="E31" s="251"/>
      <c r="F31" s="251"/>
      <c r="G31" s="123">
        <v>2261.1479208589772</v>
      </c>
    </row>
    <row r="32" spans="2:9" x14ac:dyDescent="0.3">
      <c r="B32" s="250" t="s">
        <v>102</v>
      </c>
      <c r="C32" s="251"/>
      <c r="D32" s="251"/>
      <c r="E32" s="251"/>
      <c r="F32" s="251"/>
      <c r="G32" s="123">
        <v>26565.98</v>
      </c>
    </row>
    <row r="33" spans="2:11" ht="15" thickBot="1" x14ac:dyDescent="0.35">
      <c r="B33" s="252" t="s">
        <v>127</v>
      </c>
      <c r="C33" s="253"/>
      <c r="D33" s="253"/>
      <c r="E33" s="253"/>
      <c r="F33" s="253"/>
      <c r="G33" s="124">
        <v>0</v>
      </c>
      <c r="K33" s="69"/>
    </row>
    <row r="34" spans="2:11" ht="15" thickBot="1" x14ac:dyDescent="0.35"/>
    <row r="35" spans="2:11" ht="15" thickBot="1" x14ac:dyDescent="0.35">
      <c r="B35" s="248" t="s">
        <v>189</v>
      </c>
      <c r="C35" s="249"/>
      <c r="D35" s="249"/>
      <c r="E35" s="249"/>
      <c r="F35" s="249"/>
      <c r="G35" s="125">
        <f>SUM(G30:G33)</f>
        <v>30363.866958858976</v>
      </c>
      <c r="J35" s="60"/>
    </row>
    <row r="36" spans="2:11" ht="15" thickBot="1" x14ac:dyDescent="0.35"/>
    <row r="37" spans="2:11" ht="15" thickBot="1" x14ac:dyDescent="0.35">
      <c r="B37" s="248" t="s">
        <v>110</v>
      </c>
      <c r="C37" s="249"/>
      <c r="D37" s="249"/>
      <c r="E37" s="249"/>
      <c r="F37" s="249"/>
      <c r="G37" s="125">
        <f>G16+G27+G35</f>
        <v>30363.866958858976</v>
      </c>
      <c r="I37" s="126"/>
      <c r="J37" s="60"/>
      <c r="K37" s="107"/>
    </row>
    <row r="38" spans="2:11" ht="15" thickBot="1" x14ac:dyDescent="0.35"/>
    <row r="39" spans="2:11" ht="15" thickBot="1" x14ac:dyDescent="0.35">
      <c r="B39" s="248" t="s">
        <v>190</v>
      </c>
      <c r="C39" s="249"/>
      <c r="D39" s="249"/>
      <c r="E39" s="249"/>
      <c r="F39" s="249"/>
      <c r="G39" s="125">
        <f>G37*12</f>
        <v>364366.40350630775</v>
      </c>
    </row>
  </sheetData>
  <mergeCells count="24">
    <mergeCell ref="B39:F39"/>
    <mergeCell ref="B23:F23"/>
    <mergeCell ref="B24:F24"/>
    <mergeCell ref="B25:F25"/>
    <mergeCell ref="B27:F27"/>
    <mergeCell ref="B29:F29"/>
    <mergeCell ref="B30:F30"/>
    <mergeCell ref="B31:F31"/>
    <mergeCell ref="B32:F32"/>
    <mergeCell ref="B33:F33"/>
    <mergeCell ref="B35:F35"/>
    <mergeCell ref="B37:F37"/>
    <mergeCell ref="B22:F22"/>
    <mergeCell ref="B3:F3"/>
    <mergeCell ref="B4:F4"/>
    <mergeCell ref="B5:F5"/>
    <mergeCell ref="B6:F6"/>
    <mergeCell ref="B7:F7"/>
    <mergeCell ref="B8:F8"/>
    <mergeCell ref="B10:G10"/>
    <mergeCell ref="B16:F16"/>
    <mergeCell ref="B18:G18"/>
    <mergeCell ref="B20:F20"/>
    <mergeCell ref="B21:F2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5F27D-388E-450F-94F1-71CFFF59CE62}">
  <sheetPr codeName="Planilha29"/>
  <dimension ref="B2:K48"/>
  <sheetViews>
    <sheetView topLeftCell="A16" workbookViewId="0">
      <selection activeCell="G31" sqref="G31"/>
    </sheetView>
  </sheetViews>
  <sheetFormatPr defaultRowHeight="14.4" x14ac:dyDescent="0.3"/>
  <cols>
    <col min="2" max="2" width="62" bestFit="1" customWidth="1"/>
    <col min="3" max="3" width="12.44140625" bestFit="1" customWidth="1"/>
    <col min="4" max="4" width="9.5546875" customWidth="1"/>
    <col min="5" max="5" width="12.44140625" bestFit="1" customWidth="1"/>
    <col min="6" max="6" width="12.33203125" bestFit="1" customWidth="1"/>
    <col min="7" max="7" width="32.88671875" bestFit="1" customWidth="1"/>
    <col min="9" max="9" width="16.33203125" bestFit="1" customWidth="1"/>
    <col min="10" max="11" width="13.44140625" bestFit="1" customWidth="1"/>
  </cols>
  <sheetData>
    <row r="2" spans="2:7" ht="15" thickBot="1" x14ac:dyDescent="0.35"/>
    <row r="3" spans="2:7" x14ac:dyDescent="0.3">
      <c r="B3" s="256" t="s">
        <v>112</v>
      </c>
      <c r="C3" s="257"/>
      <c r="D3" s="257"/>
      <c r="E3" s="257"/>
      <c r="F3" s="257"/>
      <c r="G3" s="65" t="s">
        <v>223</v>
      </c>
    </row>
    <row r="4" spans="2:7" x14ac:dyDescent="0.3">
      <c r="B4" s="258" t="s">
        <v>113</v>
      </c>
      <c r="C4" s="259"/>
      <c r="D4" s="259"/>
      <c r="E4" s="259"/>
      <c r="F4" s="259"/>
      <c r="G4" s="66" t="s">
        <v>221</v>
      </c>
    </row>
    <row r="5" spans="2:7" x14ac:dyDescent="0.3">
      <c r="B5" s="258" t="s">
        <v>114</v>
      </c>
      <c r="C5" s="259"/>
      <c r="D5" s="259"/>
      <c r="E5" s="259"/>
      <c r="F5" s="259"/>
      <c r="G5" s="111" t="s">
        <v>222</v>
      </c>
    </row>
    <row r="6" spans="2:7" x14ac:dyDescent="0.3">
      <c r="B6" s="258" t="s">
        <v>115</v>
      </c>
      <c r="C6" s="259"/>
      <c r="D6" s="259"/>
      <c r="E6" s="259"/>
      <c r="F6" s="259"/>
      <c r="G6" s="111" t="s">
        <v>116</v>
      </c>
    </row>
    <row r="7" spans="2:7" x14ac:dyDescent="0.3">
      <c r="B7" s="258" t="s">
        <v>117</v>
      </c>
      <c r="C7" s="259"/>
      <c r="D7" s="259"/>
      <c r="E7" s="259"/>
      <c r="F7" s="259"/>
      <c r="G7" s="111" t="s">
        <v>118</v>
      </c>
    </row>
    <row r="8" spans="2:7" ht="15" thickBot="1" x14ac:dyDescent="0.35">
      <c r="B8" s="260" t="s">
        <v>91</v>
      </c>
      <c r="C8" s="261"/>
      <c r="D8" s="261"/>
      <c r="E8" s="261"/>
      <c r="F8" s="261"/>
      <c r="G8" s="112">
        <v>2</v>
      </c>
    </row>
    <row r="10" spans="2:7" x14ac:dyDescent="0.3">
      <c r="B10" s="251" t="s">
        <v>177</v>
      </c>
      <c r="C10" s="251"/>
      <c r="D10" s="251"/>
      <c r="E10" s="251"/>
      <c r="F10" s="251"/>
      <c r="G10" s="251"/>
    </row>
    <row r="11" spans="2:7" ht="15" thickBot="1" x14ac:dyDescent="0.35">
      <c r="B11" s="113"/>
      <c r="C11" s="113"/>
      <c r="D11" s="113"/>
      <c r="E11" s="113"/>
      <c r="F11" s="113"/>
      <c r="G11" s="113"/>
    </row>
    <row r="12" spans="2:7" ht="58.2" thickBot="1" x14ac:dyDescent="0.35">
      <c r="B12" s="144" t="s">
        <v>178</v>
      </c>
      <c r="C12" s="145" t="s">
        <v>179</v>
      </c>
      <c r="D12" s="145" t="s">
        <v>180</v>
      </c>
      <c r="E12" s="145" t="s">
        <v>181</v>
      </c>
      <c r="F12" s="145" t="s">
        <v>182</v>
      </c>
      <c r="G12" s="146" t="s">
        <v>183</v>
      </c>
    </row>
    <row r="13" spans="2:7" x14ac:dyDescent="0.3">
      <c r="B13" s="128" t="s">
        <v>205</v>
      </c>
      <c r="C13" s="129" t="e">
        <f>#REF!</f>
        <v>#REF!</v>
      </c>
      <c r="D13" s="130">
        <v>1.5163259842519685</v>
      </c>
      <c r="E13" s="129" t="e">
        <f>D13*C13</f>
        <v>#REF!</v>
      </c>
      <c r="F13" s="127" t="e">
        <f>#REF!</f>
        <v>#REF!</v>
      </c>
      <c r="G13" s="131" t="e">
        <f>F13*E13</f>
        <v>#REF!</v>
      </c>
    </row>
    <row r="14" spans="2:7" x14ac:dyDescent="0.3">
      <c r="B14" s="142" t="s">
        <v>206</v>
      </c>
      <c r="C14" s="129" t="e">
        <f>#REF!</f>
        <v>#REF!</v>
      </c>
      <c r="D14" s="130">
        <v>1.5420846501128669</v>
      </c>
      <c r="E14" s="129" t="e">
        <f t="shared" ref="E14:E23" si="0">D14*C14</f>
        <v>#REF!</v>
      </c>
      <c r="F14" s="127" t="e">
        <f>#REF!</f>
        <v>#REF!</v>
      </c>
      <c r="G14" s="131" t="e">
        <f t="shared" ref="G14:G23" si="1">F14*E14</f>
        <v>#REF!</v>
      </c>
    </row>
    <row r="15" spans="2:7" x14ac:dyDescent="0.3">
      <c r="B15" s="142" t="s">
        <v>207</v>
      </c>
      <c r="C15" s="129" t="e">
        <f>#REF!</f>
        <v>#REF!</v>
      </c>
      <c r="D15" s="130">
        <v>1.5478171684003672</v>
      </c>
      <c r="E15" s="129" t="e">
        <f t="shared" si="0"/>
        <v>#REF!</v>
      </c>
      <c r="F15" s="127" t="e">
        <f>#REF!</f>
        <v>#REF!</v>
      </c>
      <c r="G15" s="131" t="e">
        <f t="shared" si="1"/>
        <v>#REF!</v>
      </c>
    </row>
    <row r="16" spans="2:7" x14ac:dyDescent="0.3">
      <c r="B16" s="142" t="s">
        <v>208</v>
      </c>
      <c r="C16" s="129" t="e">
        <f>#REF!</f>
        <v>#REF!</v>
      </c>
      <c r="D16" s="130">
        <v>1.6059192525272077</v>
      </c>
      <c r="E16" s="129" t="e">
        <f t="shared" si="0"/>
        <v>#REF!</v>
      </c>
      <c r="F16" s="127" t="e">
        <f>#REF!</f>
        <v>#REF!</v>
      </c>
      <c r="G16" s="131" t="e">
        <f t="shared" si="1"/>
        <v>#REF!</v>
      </c>
    </row>
    <row r="17" spans="2:9" x14ac:dyDescent="0.3">
      <c r="B17" s="142" t="s">
        <v>209</v>
      </c>
      <c r="C17" s="129" t="e">
        <f>#REF!</f>
        <v>#REF!</v>
      </c>
      <c r="D17" s="130">
        <v>1.5344955924354802</v>
      </c>
      <c r="E17" s="129" t="e">
        <f t="shared" si="0"/>
        <v>#REF!</v>
      </c>
      <c r="F17" s="127" t="e">
        <f>#REF!</f>
        <v>#REF!</v>
      </c>
      <c r="G17" s="131" t="e">
        <f t="shared" si="1"/>
        <v>#REF!</v>
      </c>
    </row>
    <row r="18" spans="2:9" x14ac:dyDescent="0.3">
      <c r="B18" s="142" t="s">
        <v>210</v>
      </c>
      <c r="C18" s="129" t="e">
        <f>#REF!</f>
        <v>#REF!</v>
      </c>
      <c r="D18" s="130">
        <v>1.5805394418136804</v>
      </c>
      <c r="E18" s="129" t="e">
        <f t="shared" si="0"/>
        <v>#REF!</v>
      </c>
      <c r="F18" s="127" t="e">
        <f>#REF!</f>
        <v>#REF!</v>
      </c>
      <c r="G18" s="131" t="e">
        <f t="shared" si="1"/>
        <v>#REF!</v>
      </c>
    </row>
    <row r="19" spans="2:9" x14ac:dyDescent="0.3">
      <c r="B19" s="142" t="s">
        <v>211</v>
      </c>
      <c r="C19" s="129" t="e">
        <f>#REF!</f>
        <v>#REF!</v>
      </c>
      <c r="D19" s="130">
        <v>1.5380591116583417</v>
      </c>
      <c r="E19" s="129" t="e">
        <f t="shared" si="0"/>
        <v>#REF!</v>
      </c>
      <c r="F19" s="127" t="e">
        <f>#REF!</f>
        <v>#REF!</v>
      </c>
      <c r="G19" s="131" t="e">
        <f t="shared" si="1"/>
        <v>#REF!</v>
      </c>
    </row>
    <row r="20" spans="2:9" x14ac:dyDescent="0.3">
      <c r="B20" s="142" t="s">
        <v>212</v>
      </c>
      <c r="C20" s="129" t="e">
        <f>#REF!</f>
        <v>#REF!</v>
      </c>
      <c r="D20" s="130">
        <v>1.5846956688067084</v>
      </c>
      <c r="E20" s="129" t="e">
        <f t="shared" si="0"/>
        <v>#REF!</v>
      </c>
      <c r="F20" s="127" t="e">
        <f>#REF!</f>
        <v>#REF!</v>
      </c>
      <c r="G20" s="131" t="e">
        <f t="shared" si="1"/>
        <v>#REF!</v>
      </c>
    </row>
    <row r="21" spans="2:9" x14ac:dyDescent="0.3">
      <c r="B21" s="142" t="s">
        <v>213</v>
      </c>
      <c r="C21" s="129" t="e">
        <f>#REF!</f>
        <v>#REF!</v>
      </c>
      <c r="D21" s="130">
        <v>1.6672523679064406</v>
      </c>
      <c r="E21" s="129" t="e">
        <f t="shared" si="0"/>
        <v>#REF!</v>
      </c>
      <c r="F21" s="127" t="e">
        <f>#REF!</f>
        <v>#REF!</v>
      </c>
      <c r="G21" s="131" t="e">
        <f t="shared" si="1"/>
        <v>#REF!</v>
      </c>
    </row>
    <row r="22" spans="2:9" x14ac:dyDescent="0.3">
      <c r="B22" s="142" t="s">
        <v>214</v>
      </c>
      <c r="C22" s="129" t="e">
        <f>#REF!</f>
        <v>#REF!</v>
      </c>
      <c r="D22" s="130">
        <v>1.6268841850886946</v>
      </c>
      <c r="E22" s="129" t="e">
        <f t="shared" si="0"/>
        <v>#REF!</v>
      </c>
      <c r="F22" s="127" t="e">
        <f>#REF!</f>
        <v>#REF!</v>
      </c>
      <c r="G22" s="131" t="e">
        <f t="shared" si="1"/>
        <v>#REF!</v>
      </c>
    </row>
    <row r="23" spans="2:9" ht="15" thickBot="1" x14ac:dyDescent="0.35">
      <c r="B23" s="143" t="s">
        <v>215</v>
      </c>
      <c r="C23" s="129" t="e">
        <f>#REF!</f>
        <v>#REF!</v>
      </c>
      <c r="D23" s="130">
        <v>1.5655879845179432</v>
      </c>
      <c r="E23" s="129" t="e">
        <f t="shared" si="0"/>
        <v>#REF!</v>
      </c>
      <c r="F23" s="127" t="e">
        <f>#REF!</f>
        <v>#REF!</v>
      </c>
      <c r="G23" s="131" t="e">
        <f t="shared" si="1"/>
        <v>#REF!</v>
      </c>
    </row>
    <row r="24" spans="2:9" ht="15" thickBot="1" x14ac:dyDescent="0.35">
      <c r="B24" s="135"/>
      <c r="C24" s="136"/>
      <c r="D24" s="137"/>
      <c r="E24" s="136"/>
      <c r="F24" s="138"/>
      <c r="G24" s="139"/>
    </row>
    <row r="25" spans="2:9" ht="15" thickBot="1" x14ac:dyDescent="0.35">
      <c r="B25" s="248" t="s">
        <v>184</v>
      </c>
      <c r="C25" s="249"/>
      <c r="D25" s="249"/>
      <c r="E25" s="249"/>
      <c r="F25" s="249"/>
      <c r="G25" s="121" t="e">
        <f>SUM(G13:G23)</f>
        <v>#REF!</v>
      </c>
      <c r="I25" s="91"/>
    </row>
    <row r="27" spans="2:9" x14ac:dyDescent="0.3">
      <c r="B27" s="251" t="s">
        <v>185</v>
      </c>
      <c r="C27" s="251"/>
      <c r="D27" s="251"/>
      <c r="E27" s="251"/>
      <c r="F27" s="251"/>
      <c r="G27" s="251"/>
    </row>
    <row r="28" spans="2:9" ht="15" thickBot="1" x14ac:dyDescent="0.35">
      <c r="I28" s="60"/>
    </row>
    <row r="29" spans="2:9" x14ac:dyDescent="0.3">
      <c r="B29" s="254" t="s">
        <v>121</v>
      </c>
      <c r="C29" s="255"/>
      <c r="D29" s="255"/>
      <c r="E29" s="255"/>
      <c r="F29" s="255"/>
      <c r="G29" s="122" t="s">
        <v>122</v>
      </c>
    </row>
    <row r="30" spans="2:9" x14ac:dyDescent="0.3">
      <c r="B30" s="250" t="s">
        <v>123</v>
      </c>
      <c r="C30" s="251"/>
      <c r="D30" s="251"/>
      <c r="E30" s="251"/>
      <c r="F30" s="251"/>
      <c r="G30" s="123">
        <v>0</v>
      </c>
    </row>
    <row r="31" spans="2:9" x14ac:dyDescent="0.3">
      <c r="B31" s="250" t="s">
        <v>224</v>
      </c>
      <c r="C31" s="251"/>
      <c r="D31" s="251"/>
      <c r="E31" s="251"/>
      <c r="F31" s="251"/>
      <c r="G31" s="123">
        <v>0</v>
      </c>
    </row>
    <row r="32" spans="2:9" x14ac:dyDescent="0.3">
      <c r="B32" s="250" t="s">
        <v>186</v>
      </c>
      <c r="C32" s="251"/>
      <c r="D32" s="251"/>
      <c r="E32" s="251"/>
      <c r="F32" s="251"/>
      <c r="G32" s="123">
        <v>0</v>
      </c>
    </row>
    <row r="33" spans="2:11" x14ac:dyDescent="0.3">
      <c r="B33" s="250" t="s">
        <v>125</v>
      </c>
      <c r="C33" s="251"/>
      <c r="D33" s="251"/>
      <c r="E33" s="251"/>
      <c r="F33" s="251"/>
      <c r="G33" s="123">
        <v>0</v>
      </c>
    </row>
    <row r="34" spans="2:11" ht="15" thickBot="1" x14ac:dyDescent="0.35">
      <c r="B34" s="252" t="s">
        <v>191</v>
      </c>
      <c r="C34" s="253"/>
      <c r="D34" s="253"/>
      <c r="E34" s="253"/>
      <c r="F34" s="253"/>
      <c r="G34" s="124">
        <v>0</v>
      </c>
    </row>
    <row r="35" spans="2:11" ht="15" thickBot="1" x14ac:dyDescent="0.35"/>
    <row r="36" spans="2:11" ht="15" thickBot="1" x14ac:dyDescent="0.35">
      <c r="B36" s="248" t="s">
        <v>187</v>
      </c>
      <c r="C36" s="249"/>
      <c r="D36" s="249"/>
      <c r="E36" s="249"/>
      <c r="F36" s="249"/>
      <c r="G36" s="125">
        <f>SUM(G30:G34)</f>
        <v>0</v>
      </c>
    </row>
    <row r="37" spans="2:11" ht="15" thickBot="1" x14ac:dyDescent="0.35"/>
    <row r="38" spans="2:11" x14ac:dyDescent="0.3">
      <c r="B38" s="254" t="s">
        <v>121</v>
      </c>
      <c r="C38" s="255"/>
      <c r="D38" s="255"/>
      <c r="E38" s="255"/>
      <c r="F38" s="255"/>
      <c r="G38" s="122" t="s">
        <v>122</v>
      </c>
    </row>
    <row r="39" spans="2:11" x14ac:dyDescent="0.3">
      <c r="B39" s="250" t="s">
        <v>188</v>
      </c>
      <c r="C39" s="251"/>
      <c r="D39" s="251"/>
      <c r="E39" s="251"/>
      <c r="F39" s="251"/>
      <c r="G39" s="123">
        <v>1426.3661370000002</v>
      </c>
      <c r="I39" s="60"/>
    </row>
    <row r="40" spans="2:11" x14ac:dyDescent="0.3">
      <c r="B40" s="250" t="s">
        <v>66</v>
      </c>
      <c r="C40" s="251"/>
      <c r="D40" s="251"/>
      <c r="E40" s="251"/>
      <c r="F40" s="251"/>
      <c r="G40" s="123">
        <v>2098.7459453484653</v>
      </c>
    </row>
    <row r="41" spans="2:11" x14ac:dyDescent="0.3">
      <c r="B41" s="250" t="s">
        <v>102</v>
      </c>
      <c r="C41" s="251"/>
      <c r="D41" s="251"/>
      <c r="E41" s="251"/>
      <c r="F41" s="251"/>
      <c r="G41" s="123">
        <v>15858.17</v>
      </c>
    </row>
    <row r="42" spans="2:11" ht="15" thickBot="1" x14ac:dyDescent="0.35">
      <c r="B42" s="252" t="s">
        <v>127</v>
      </c>
      <c r="C42" s="253"/>
      <c r="D42" s="253"/>
      <c r="E42" s="253"/>
      <c r="F42" s="253"/>
      <c r="G42" s="124">
        <v>0</v>
      </c>
      <c r="K42" s="69"/>
    </row>
    <row r="43" spans="2:11" ht="15" thickBot="1" x14ac:dyDescent="0.35"/>
    <row r="44" spans="2:11" ht="15" thickBot="1" x14ac:dyDescent="0.35">
      <c r="B44" s="248" t="s">
        <v>189</v>
      </c>
      <c r="C44" s="249"/>
      <c r="D44" s="249"/>
      <c r="E44" s="249"/>
      <c r="F44" s="249"/>
      <c r="G44" s="125">
        <f>SUM(G39:G42)</f>
        <v>19383.282082348465</v>
      </c>
      <c r="J44" s="60"/>
    </row>
    <row r="45" spans="2:11" ht="15" thickBot="1" x14ac:dyDescent="0.35"/>
    <row r="46" spans="2:11" ht="15" thickBot="1" x14ac:dyDescent="0.35">
      <c r="B46" s="248" t="s">
        <v>110</v>
      </c>
      <c r="C46" s="249"/>
      <c r="D46" s="249"/>
      <c r="E46" s="249"/>
      <c r="F46" s="249"/>
      <c r="G46" s="125" t="e">
        <f>G25+G36+G44</f>
        <v>#REF!</v>
      </c>
      <c r="I46" s="126"/>
      <c r="J46" s="60"/>
      <c r="K46" s="107"/>
    </row>
    <row r="47" spans="2:11" ht="15" thickBot="1" x14ac:dyDescent="0.35"/>
    <row r="48" spans="2:11" ht="15" thickBot="1" x14ac:dyDescent="0.35">
      <c r="B48" s="248" t="s">
        <v>190</v>
      </c>
      <c r="C48" s="249"/>
      <c r="D48" s="249"/>
      <c r="E48" s="249"/>
      <c r="F48" s="249"/>
      <c r="G48" s="125" t="e">
        <f>G46*12</f>
        <v>#REF!</v>
      </c>
    </row>
  </sheetData>
  <mergeCells count="24">
    <mergeCell ref="B31:F31"/>
    <mergeCell ref="B3:F3"/>
    <mergeCell ref="B4:F4"/>
    <mergeCell ref="B5:F5"/>
    <mergeCell ref="B6:F6"/>
    <mergeCell ref="B7:F7"/>
    <mergeCell ref="B8:F8"/>
    <mergeCell ref="B10:G10"/>
    <mergeCell ref="B25:F25"/>
    <mergeCell ref="B27:G27"/>
    <mergeCell ref="B29:F29"/>
    <mergeCell ref="B30:F30"/>
    <mergeCell ref="B48:F48"/>
    <mergeCell ref="B32:F32"/>
    <mergeCell ref="B33:F33"/>
    <mergeCell ref="B34:F34"/>
    <mergeCell ref="B36:F36"/>
    <mergeCell ref="B38:F38"/>
    <mergeCell ref="B39:F39"/>
    <mergeCell ref="B40:F40"/>
    <mergeCell ref="B41:F41"/>
    <mergeCell ref="B42:F42"/>
    <mergeCell ref="B44:F44"/>
    <mergeCell ref="B46:F4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7C06D-BB2F-4766-9403-37AFA5606A50}">
  <sheetPr codeName="Planilha3"/>
  <dimension ref="B2:F28"/>
  <sheetViews>
    <sheetView workbookViewId="0">
      <selection activeCell="E17" sqref="E17"/>
    </sheetView>
  </sheetViews>
  <sheetFormatPr defaultRowHeight="14.4" x14ac:dyDescent="0.3"/>
  <cols>
    <col min="2" max="2" width="60.109375" bestFit="1" customWidth="1"/>
    <col min="3" max="3" width="40.44140625" customWidth="1"/>
    <col min="5" max="5" width="14.33203125" bestFit="1" customWidth="1"/>
    <col min="6" max="6" width="12.109375" bestFit="1" customWidth="1"/>
  </cols>
  <sheetData>
    <row r="2" spans="2:3" ht="15" thickBot="1" x14ac:dyDescent="0.35"/>
    <row r="3" spans="2:3" x14ac:dyDescent="0.3">
      <c r="B3" s="80" t="s">
        <v>112</v>
      </c>
      <c r="C3" s="65" t="s">
        <v>134</v>
      </c>
    </row>
    <row r="4" spans="2:3" x14ac:dyDescent="0.3">
      <c r="B4" s="81" t="s">
        <v>113</v>
      </c>
      <c r="C4" s="66" t="s">
        <v>135</v>
      </c>
    </row>
    <row r="5" spans="2:3" x14ac:dyDescent="0.3">
      <c r="B5" s="81" t="s">
        <v>114</v>
      </c>
      <c r="C5" s="66" t="s">
        <v>136</v>
      </c>
    </row>
    <row r="6" spans="2:3" x14ac:dyDescent="0.3">
      <c r="B6" s="81" t="s">
        <v>115</v>
      </c>
      <c r="C6" s="66" t="s">
        <v>116</v>
      </c>
    </row>
    <row r="7" spans="2:3" x14ac:dyDescent="0.3">
      <c r="B7" s="81" t="s">
        <v>117</v>
      </c>
      <c r="C7" s="66" t="s">
        <v>118</v>
      </c>
    </row>
    <row r="8" spans="2:3" x14ac:dyDescent="0.3">
      <c r="B8" s="81" t="s">
        <v>119</v>
      </c>
      <c r="C8" s="67">
        <v>1</v>
      </c>
    </row>
    <row r="9" spans="2:3" ht="58.2" thickBot="1" x14ac:dyDescent="0.35">
      <c r="B9" s="82" t="s">
        <v>120</v>
      </c>
      <c r="C9" s="68" t="s">
        <v>137</v>
      </c>
    </row>
    <row r="10" spans="2:3" ht="15" thickBot="1" x14ac:dyDescent="0.35"/>
    <row r="11" spans="2:3" x14ac:dyDescent="0.3">
      <c r="B11" s="180" t="s">
        <v>138</v>
      </c>
      <c r="C11" s="181"/>
    </row>
    <row r="12" spans="2:3" x14ac:dyDescent="0.3">
      <c r="B12" s="83" t="s">
        <v>121</v>
      </c>
      <c r="C12" s="84" t="s">
        <v>122</v>
      </c>
    </row>
    <row r="13" spans="2:3" x14ac:dyDescent="0.3">
      <c r="B13" s="85" t="s">
        <v>139</v>
      </c>
      <c r="C13" s="86">
        <v>68679.8</v>
      </c>
    </row>
    <row r="14" spans="2:3" x14ac:dyDescent="0.3">
      <c r="B14" s="85" t="s">
        <v>123</v>
      </c>
      <c r="C14" s="86">
        <v>0</v>
      </c>
    </row>
    <row r="15" spans="2:3" x14ac:dyDescent="0.3">
      <c r="B15" s="85" t="s">
        <v>124</v>
      </c>
      <c r="C15" s="86">
        <v>0</v>
      </c>
    </row>
    <row r="16" spans="2:3" x14ac:dyDescent="0.3">
      <c r="B16" s="85" t="s">
        <v>140</v>
      </c>
      <c r="C16" s="86">
        <v>0</v>
      </c>
    </row>
    <row r="17" spans="2:6" x14ac:dyDescent="0.3">
      <c r="B17" s="85" t="s">
        <v>125</v>
      </c>
      <c r="C17" s="86">
        <v>0</v>
      </c>
    </row>
    <row r="18" spans="2:6" x14ac:dyDescent="0.3">
      <c r="B18" s="85" t="s">
        <v>126</v>
      </c>
      <c r="C18" s="86">
        <v>0</v>
      </c>
    </row>
    <row r="19" spans="2:6" x14ac:dyDescent="0.3">
      <c r="B19" s="85" t="s">
        <v>141</v>
      </c>
      <c r="C19" s="86">
        <f>SUM(C13:C18)</f>
        <v>68679.8</v>
      </c>
    </row>
    <row r="20" spans="2:6" x14ac:dyDescent="0.3">
      <c r="B20" s="85" t="s">
        <v>142</v>
      </c>
      <c r="C20" s="86"/>
    </row>
    <row r="21" spans="2:6" x14ac:dyDescent="0.3">
      <c r="B21" s="83" t="s">
        <v>121</v>
      </c>
      <c r="C21" s="87" t="s">
        <v>122</v>
      </c>
    </row>
    <row r="22" spans="2:6" x14ac:dyDescent="0.3">
      <c r="B22" s="85" t="s">
        <v>143</v>
      </c>
      <c r="C22" s="86">
        <v>10208.49</v>
      </c>
      <c r="E22" s="60">
        <f>C22*12</f>
        <v>122501.88</v>
      </c>
    </row>
    <row r="23" spans="2:6" x14ac:dyDescent="0.3">
      <c r="B23" s="85" t="s">
        <v>102</v>
      </c>
      <c r="C23" s="86">
        <v>8896.4749999999985</v>
      </c>
    </row>
    <row r="24" spans="2:6" x14ac:dyDescent="0.3">
      <c r="B24" s="85" t="s">
        <v>127</v>
      </c>
      <c r="C24" s="86">
        <v>0</v>
      </c>
    </row>
    <row r="25" spans="2:6" x14ac:dyDescent="0.3">
      <c r="B25" s="85" t="s">
        <v>144</v>
      </c>
      <c r="C25" s="86">
        <f>SUM(C22:C24)</f>
        <v>19104.964999999997</v>
      </c>
      <c r="E25" s="60"/>
      <c r="F25" s="60"/>
    </row>
    <row r="26" spans="2:6" x14ac:dyDescent="0.3">
      <c r="B26" s="85" t="s">
        <v>145</v>
      </c>
      <c r="C26" s="86">
        <f>C19+C25</f>
        <v>87784.764999999999</v>
      </c>
    </row>
    <row r="27" spans="2:6" x14ac:dyDescent="0.3">
      <c r="B27" s="85" t="s">
        <v>146</v>
      </c>
      <c r="C27" s="86">
        <f>C26</f>
        <v>87784.764999999999</v>
      </c>
      <c r="E27" s="60"/>
    </row>
    <row r="28" spans="2:6" ht="15" thickBot="1" x14ac:dyDescent="0.35">
      <c r="B28" s="88" t="s">
        <v>147</v>
      </c>
      <c r="C28" s="89">
        <f>C27*30</f>
        <v>2633542.9500000002</v>
      </c>
      <c r="E28" s="60"/>
    </row>
  </sheetData>
  <mergeCells count="1">
    <mergeCell ref="B11:C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1021E-E5A5-4D89-A7D1-9DA1B9650D99}">
  <sheetPr codeName="Planilha31"/>
  <dimension ref="D2:L26"/>
  <sheetViews>
    <sheetView topLeftCell="A4" zoomScaleNormal="100" workbookViewId="0">
      <selection activeCell="G31" sqref="G31"/>
    </sheetView>
  </sheetViews>
  <sheetFormatPr defaultRowHeight="14.4" x14ac:dyDescent="0.3"/>
  <cols>
    <col min="4" max="4" width="6.5546875" bestFit="1" customWidth="1"/>
    <col min="5" max="5" width="15.88671875" style="106" customWidth="1"/>
    <col min="6" max="6" width="68.88671875" style="113" customWidth="1"/>
    <col min="7" max="7" width="8.109375" customWidth="1"/>
    <col min="8" max="8" width="13.5546875" customWidth="1"/>
    <col min="9" max="11" width="15.44140625" customWidth="1"/>
    <col min="12" max="12" width="17" bestFit="1" customWidth="1"/>
  </cols>
  <sheetData>
    <row r="2" spans="4:12" ht="15" thickBot="1" x14ac:dyDescent="0.35"/>
    <row r="3" spans="4:12" ht="15.6" x14ac:dyDescent="0.3">
      <c r="D3" s="262" t="s">
        <v>220</v>
      </c>
      <c r="E3" s="263"/>
      <c r="F3" s="263"/>
      <c r="G3" s="264"/>
      <c r="H3" s="265" t="s">
        <v>223</v>
      </c>
      <c r="I3" s="265"/>
      <c r="J3" s="265"/>
      <c r="K3" s="265"/>
      <c r="L3" s="266"/>
    </row>
    <row r="4" spans="4:12" ht="15.6" x14ac:dyDescent="0.3">
      <c r="D4" s="267" t="s">
        <v>113</v>
      </c>
      <c r="E4" s="268"/>
      <c r="F4" s="268"/>
      <c r="G4" s="269"/>
      <c r="H4" s="270" t="s">
        <v>221</v>
      </c>
      <c r="I4" s="270"/>
      <c r="J4" s="270"/>
      <c r="K4" s="270"/>
      <c r="L4" s="271"/>
    </row>
    <row r="5" spans="4:12" ht="15.6" x14ac:dyDescent="0.3">
      <c r="D5" s="267" t="s">
        <v>114</v>
      </c>
      <c r="E5" s="268"/>
      <c r="F5" s="268"/>
      <c r="G5" s="269"/>
      <c r="H5" s="270" t="s">
        <v>222</v>
      </c>
      <c r="I5" s="270"/>
      <c r="J5" s="270"/>
      <c r="K5" s="270"/>
      <c r="L5" s="271"/>
    </row>
    <row r="6" spans="4:12" ht="15.6" x14ac:dyDescent="0.3">
      <c r="D6" s="267" t="s">
        <v>115</v>
      </c>
      <c r="E6" s="268"/>
      <c r="F6" s="268"/>
      <c r="G6" s="269"/>
      <c r="H6" s="270" t="s">
        <v>116</v>
      </c>
      <c r="I6" s="270"/>
      <c r="J6" s="270"/>
      <c r="K6" s="270"/>
      <c r="L6" s="271"/>
    </row>
    <row r="7" spans="4:12" ht="16.2" thickBot="1" x14ac:dyDescent="0.35">
      <c r="D7" s="277" t="s">
        <v>117</v>
      </c>
      <c r="E7" s="278"/>
      <c r="F7" s="278"/>
      <c r="G7" s="279"/>
      <c r="H7" s="280" t="s">
        <v>118</v>
      </c>
      <c r="I7" s="280"/>
      <c r="J7" s="280"/>
      <c r="K7" s="280"/>
      <c r="L7" s="281"/>
    </row>
    <row r="9" spans="4:12" ht="18" x14ac:dyDescent="0.35">
      <c r="D9" s="187" t="s">
        <v>219</v>
      </c>
      <c r="E9" s="187"/>
      <c r="F9" s="187"/>
      <c r="G9" s="187"/>
      <c r="H9" s="187"/>
      <c r="I9" s="187"/>
      <c r="J9" s="187"/>
      <c r="K9" s="187"/>
      <c r="L9" s="187"/>
    </row>
    <row r="10" spans="4:12" ht="43.2" x14ac:dyDescent="0.3">
      <c r="D10" s="133" t="s">
        <v>227</v>
      </c>
      <c r="E10" s="134" t="s">
        <v>91</v>
      </c>
      <c r="F10" s="167" t="s">
        <v>216</v>
      </c>
      <c r="G10" s="134" t="s">
        <v>239</v>
      </c>
      <c r="H10" s="134" t="s">
        <v>217</v>
      </c>
      <c r="I10" s="134" t="s">
        <v>218</v>
      </c>
      <c r="J10" s="134" t="s">
        <v>241</v>
      </c>
      <c r="K10" s="134" t="s">
        <v>242</v>
      </c>
      <c r="L10" s="134" t="s">
        <v>244</v>
      </c>
    </row>
    <row r="11" spans="4:12" ht="43.2" x14ac:dyDescent="0.3">
      <c r="D11" s="282">
        <v>1</v>
      </c>
      <c r="E11" s="165">
        <v>1</v>
      </c>
      <c r="F11" s="168" t="s">
        <v>228</v>
      </c>
      <c r="G11" s="109">
        <v>27260</v>
      </c>
      <c r="H11" s="132" t="s">
        <v>240</v>
      </c>
      <c r="I11" s="169">
        <v>2</v>
      </c>
      <c r="J11" s="132">
        <v>13323.98</v>
      </c>
      <c r="K11" s="132">
        <v>23935.180747263734</v>
      </c>
      <c r="L11" s="110">
        <f>K11*I11</f>
        <v>47870.361494527468</v>
      </c>
    </row>
    <row r="12" spans="4:12" ht="57.6" x14ac:dyDescent="0.3">
      <c r="D12" s="283"/>
      <c r="E12" s="166">
        <v>2</v>
      </c>
      <c r="F12" s="168" t="s">
        <v>229</v>
      </c>
      <c r="G12" s="109">
        <v>27260</v>
      </c>
      <c r="H12" s="132" t="s">
        <v>240</v>
      </c>
      <c r="I12" s="169">
        <v>2</v>
      </c>
      <c r="J12" s="132">
        <v>13567.11</v>
      </c>
      <c r="K12" s="132">
        <v>24355.891107348318</v>
      </c>
      <c r="L12" s="110">
        <f t="shared" ref="L12:L21" si="0">K12*I12</f>
        <v>48711.782214696635</v>
      </c>
    </row>
    <row r="13" spans="4:12" ht="43.2" x14ac:dyDescent="0.3">
      <c r="D13" s="283"/>
      <c r="E13" s="109">
        <v>3</v>
      </c>
      <c r="F13" s="168" t="s">
        <v>230</v>
      </c>
      <c r="G13" s="109">
        <v>27260</v>
      </c>
      <c r="H13" s="132" t="s">
        <v>240</v>
      </c>
      <c r="I13" s="169">
        <v>2</v>
      </c>
      <c r="J13" s="132">
        <v>13432.56</v>
      </c>
      <c r="K13" s="132">
        <v>24123.066779007997</v>
      </c>
      <c r="L13" s="110">
        <f t="shared" si="0"/>
        <v>48246.133558015994</v>
      </c>
    </row>
    <row r="14" spans="4:12" ht="45" customHeight="1" x14ac:dyDescent="0.3">
      <c r="D14" s="283"/>
      <c r="E14" s="109">
        <v>4</v>
      </c>
      <c r="F14" s="168" t="s">
        <v>231</v>
      </c>
      <c r="G14" s="109">
        <v>27260</v>
      </c>
      <c r="H14" s="132" t="s">
        <v>240</v>
      </c>
      <c r="I14" s="169">
        <v>1</v>
      </c>
      <c r="J14" s="132">
        <v>8300</v>
      </c>
      <c r="K14" s="132">
        <v>15284.673169402624</v>
      </c>
      <c r="L14" s="110">
        <f t="shared" si="0"/>
        <v>15284.673169402624</v>
      </c>
    </row>
    <row r="15" spans="4:12" ht="43.2" x14ac:dyDescent="0.3">
      <c r="D15" s="283"/>
      <c r="E15" s="109">
        <v>5</v>
      </c>
      <c r="F15" s="168" t="s">
        <v>232</v>
      </c>
      <c r="G15" s="109">
        <v>27260</v>
      </c>
      <c r="H15" s="132" t="s">
        <v>240</v>
      </c>
      <c r="I15" s="169">
        <v>5</v>
      </c>
      <c r="J15" s="132">
        <v>13905.73</v>
      </c>
      <c r="K15" s="132">
        <v>24941.836659653014</v>
      </c>
      <c r="L15" s="110">
        <f t="shared" si="0"/>
        <v>124709.18329826507</v>
      </c>
    </row>
    <row r="16" spans="4:12" ht="57.6" x14ac:dyDescent="0.3">
      <c r="D16" s="283"/>
      <c r="E16" s="109">
        <v>6</v>
      </c>
      <c r="F16" s="168" t="s">
        <v>233</v>
      </c>
      <c r="G16" s="109">
        <v>27260</v>
      </c>
      <c r="H16" s="132" t="s">
        <v>240</v>
      </c>
      <c r="I16" s="169">
        <v>5</v>
      </c>
      <c r="J16" s="132">
        <v>9026.91</v>
      </c>
      <c r="K16" s="132">
        <v>16499.562489505923</v>
      </c>
      <c r="L16" s="110">
        <f t="shared" si="0"/>
        <v>82497.812447529606</v>
      </c>
    </row>
    <row r="17" spans="4:12" ht="43.2" x14ac:dyDescent="0.3">
      <c r="D17" s="283"/>
      <c r="E17" s="109">
        <v>7</v>
      </c>
      <c r="F17" s="168" t="s">
        <v>234</v>
      </c>
      <c r="G17" s="109">
        <v>27260</v>
      </c>
      <c r="H17" s="132" t="s">
        <v>240</v>
      </c>
      <c r="I17" s="169">
        <v>1</v>
      </c>
      <c r="J17" s="132">
        <v>13814.53</v>
      </c>
      <c r="K17" s="132">
        <v>24784.02485181476</v>
      </c>
      <c r="L17" s="110">
        <f t="shared" si="0"/>
        <v>24784.02485181476</v>
      </c>
    </row>
    <row r="18" spans="4:12" ht="28.8" x14ac:dyDescent="0.3">
      <c r="D18" s="283"/>
      <c r="E18" s="109">
        <v>8</v>
      </c>
      <c r="F18" s="168" t="s">
        <v>235</v>
      </c>
      <c r="G18" s="109">
        <v>27260</v>
      </c>
      <c r="H18" s="132" t="s">
        <v>240</v>
      </c>
      <c r="I18" s="169">
        <v>4</v>
      </c>
      <c r="J18" s="132">
        <v>16078.2</v>
      </c>
      <c r="K18" s="132">
        <v>28701.062736126314</v>
      </c>
      <c r="L18" s="110">
        <f t="shared" si="0"/>
        <v>114804.25094450526</v>
      </c>
    </row>
    <row r="19" spans="4:12" ht="28.8" x14ac:dyDescent="0.3">
      <c r="D19" s="283"/>
      <c r="E19" s="109">
        <v>9</v>
      </c>
      <c r="F19" s="168" t="s">
        <v>236</v>
      </c>
      <c r="G19" s="109">
        <v>27260</v>
      </c>
      <c r="H19" s="132" t="s">
        <v>240</v>
      </c>
      <c r="I19" s="169">
        <v>12</v>
      </c>
      <c r="J19" s="132">
        <v>11326.16</v>
      </c>
      <c r="K19" s="132">
        <v>20478.167743585946</v>
      </c>
      <c r="L19" s="110">
        <f t="shared" si="0"/>
        <v>245738.01292303135</v>
      </c>
    </row>
    <row r="20" spans="4:12" ht="43.2" x14ac:dyDescent="0.3">
      <c r="D20" s="283"/>
      <c r="E20" s="109">
        <v>10</v>
      </c>
      <c r="F20" s="168" t="s">
        <v>237</v>
      </c>
      <c r="G20" s="109">
        <v>27260</v>
      </c>
      <c r="H20" s="132" t="s">
        <v>240</v>
      </c>
      <c r="I20" s="169">
        <v>1</v>
      </c>
      <c r="J20" s="132">
        <v>12262.56</v>
      </c>
      <c r="K20" s="132">
        <v>22098.507402135707</v>
      </c>
      <c r="L20" s="110">
        <f t="shared" si="0"/>
        <v>22098.507402135707</v>
      </c>
    </row>
    <row r="21" spans="4:12" ht="43.2" x14ac:dyDescent="0.3">
      <c r="D21" s="284"/>
      <c r="E21" s="109">
        <v>11</v>
      </c>
      <c r="F21" s="168" t="s">
        <v>238</v>
      </c>
      <c r="G21" s="109">
        <v>27260</v>
      </c>
      <c r="H21" s="132" t="s">
        <v>240</v>
      </c>
      <c r="I21" s="169">
        <v>2</v>
      </c>
      <c r="J21" s="132">
        <v>9100.92</v>
      </c>
      <c r="K21" s="132">
        <v>16627.628848037817</v>
      </c>
      <c r="L21" s="110">
        <f t="shared" si="0"/>
        <v>33255.257696075634</v>
      </c>
    </row>
    <row r="22" spans="4:12" ht="15.6" x14ac:dyDescent="0.3">
      <c r="D22" s="186" t="s">
        <v>243</v>
      </c>
      <c r="E22" s="186"/>
      <c r="F22" s="186"/>
      <c r="G22" s="186"/>
      <c r="H22" s="186"/>
      <c r="I22" s="169">
        <f>SUM(I11:I21)</f>
        <v>37</v>
      </c>
      <c r="J22" s="272" t="s">
        <v>245</v>
      </c>
      <c r="K22" s="273"/>
      <c r="L22" s="77">
        <f>L23/12</f>
        <v>808000</v>
      </c>
    </row>
    <row r="23" spans="4:12" ht="15.6" x14ac:dyDescent="0.3">
      <c r="D23" s="274"/>
      <c r="E23" s="275"/>
      <c r="F23" s="275"/>
      <c r="G23" s="275"/>
      <c r="H23" s="275"/>
      <c r="I23" s="276"/>
      <c r="J23" s="272" t="s">
        <v>246</v>
      </c>
      <c r="K23" s="273"/>
      <c r="L23" s="77">
        <v>9696000</v>
      </c>
    </row>
    <row r="25" spans="4:12" x14ac:dyDescent="0.3">
      <c r="L25" s="60">
        <f>SUM(L11:L21)</f>
        <v>808000.00000000023</v>
      </c>
    </row>
    <row r="26" spans="4:12" x14ac:dyDescent="0.3">
      <c r="L26" s="60">
        <f>L25*12</f>
        <v>9696000.0000000037</v>
      </c>
    </row>
  </sheetData>
  <mergeCells count="16">
    <mergeCell ref="D22:H22"/>
    <mergeCell ref="J22:K22"/>
    <mergeCell ref="D23:I23"/>
    <mergeCell ref="J23:K23"/>
    <mergeCell ref="D6:G6"/>
    <mergeCell ref="H6:L6"/>
    <mergeCell ref="D7:G7"/>
    <mergeCell ref="H7:L7"/>
    <mergeCell ref="D9:L9"/>
    <mergeCell ref="D11:D21"/>
    <mergeCell ref="D3:G3"/>
    <mergeCell ref="H3:L3"/>
    <mergeCell ref="D4:G4"/>
    <mergeCell ref="H4:L4"/>
    <mergeCell ref="D5:G5"/>
    <mergeCell ref="H5:L5"/>
  </mergeCells>
  <printOptions horizontalCentered="1"/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6BE9B-7237-4DCE-8FAF-62F419AD5823}">
  <sheetPr codeName="Planilha5"/>
  <dimension ref="C2:R32"/>
  <sheetViews>
    <sheetView workbookViewId="0">
      <selection activeCell="D14" sqref="D14"/>
    </sheetView>
  </sheetViews>
  <sheetFormatPr defaultRowHeight="14.4" x14ac:dyDescent="0.3"/>
  <cols>
    <col min="3" max="4" width="18.33203125" customWidth="1"/>
    <col min="5" max="5" width="10.5546875" bestFit="1" customWidth="1"/>
    <col min="6" max="6" width="10.6640625" bestFit="1" customWidth="1"/>
    <col min="10" max="10" width="53.88671875" bestFit="1" customWidth="1"/>
    <col min="11" max="11" width="11.33203125" bestFit="1" customWidth="1"/>
    <col min="12" max="12" width="12.44140625" bestFit="1" customWidth="1"/>
    <col min="13" max="13" width="14.33203125" bestFit="1" customWidth="1"/>
    <col min="15" max="15" width="25.44140625" bestFit="1" customWidth="1"/>
    <col min="16" max="16" width="12.109375" bestFit="1" customWidth="1"/>
    <col min="18" max="18" width="10" bestFit="1" customWidth="1"/>
  </cols>
  <sheetData>
    <row r="2" spans="3:18" x14ac:dyDescent="0.3">
      <c r="C2" s="59" t="s">
        <v>129</v>
      </c>
      <c r="D2" s="63">
        <v>33.51</v>
      </c>
      <c r="F2" s="60"/>
    </row>
    <row r="3" spans="3:18" x14ac:dyDescent="0.3">
      <c r="C3" s="59" t="s">
        <v>132</v>
      </c>
      <c r="D3" s="75">
        <v>22</v>
      </c>
      <c r="J3" s="183" t="s">
        <v>150</v>
      </c>
      <c r="K3" s="183"/>
      <c r="L3" s="183"/>
      <c r="O3" s="59" t="s">
        <v>154</v>
      </c>
      <c r="P3" s="59">
        <v>7</v>
      </c>
    </row>
    <row r="4" spans="3:18" x14ac:dyDescent="0.3">
      <c r="J4" s="59" t="s">
        <v>122</v>
      </c>
      <c r="K4" s="59" t="s">
        <v>151</v>
      </c>
      <c r="L4" s="59" t="s">
        <v>149</v>
      </c>
      <c r="O4" s="59" t="s">
        <v>155</v>
      </c>
      <c r="P4" s="59">
        <f>12*30</f>
        <v>360</v>
      </c>
    </row>
    <row r="5" spans="3:18" x14ac:dyDescent="0.3">
      <c r="C5" s="182" t="s">
        <v>129</v>
      </c>
      <c r="D5" s="182"/>
      <c r="E5" s="182"/>
      <c r="J5" s="63">
        <v>1500</v>
      </c>
      <c r="K5" s="90">
        <v>34</v>
      </c>
      <c r="L5" s="63">
        <f>J5/K5</f>
        <v>44.117647058823529</v>
      </c>
      <c r="O5" s="59" t="s">
        <v>156</v>
      </c>
      <c r="P5" s="59">
        <f>P4*60*60</f>
        <v>1296000</v>
      </c>
    </row>
    <row r="6" spans="3:18" x14ac:dyDescent="0.3">
      <c r="C6" s="182" t="s">
        <v>130</v>
      </c>
      <c r="D6" s="182"/>
      <c r="E6" s="59" t="s">
        <v>131</v>
      </c>
      <c r="O6" s="59" t="s">
        <v>157</v>
      </c>
      <c r="P6" s="59">
        <f>(52*60)+30</f>
        <v>3150</v>
      </c>
    </row>
    <row r="7" spans="3:18" x14ac:dyDescent="0.3">
      <c r="C7" s="63">
        <v>0</v>
      </c>
      <c r="D7" s="63">
        <v>2321.34</v>
      </c>
      <c r="E7" s="62">
        <v>0</v>
      </c>
      <c r="O7" s="59" t="s">
        <v>111</v>
      </c>
      <c r="P7" s="59">
        <f>P5/P6</f>
        <v>411.42857142857144</v>
      </c>
    </row>
    <row r="8" spans="3:18" x14ac:dyDescent="0.3">
      <c r="C8" s="63">
        <v>2321.35</v>
      </c>
      <c r="D8" s="63">
        <v>3928.43</v>
      </c>
      <c r="E8" s="62">
        <v>0.05</v>
      </c>
      <c r="J8" s="182" t="s">
        <v>152</v>
      </c>
      <c r="K8" s="182"/>
      <c r="L8" s="182"/>
      <c r="O8" s="59" t="s">
        <v>88</v>
      </c>
      <c r="P8" s="63">
        <v>1545</v>
      </c>
    </row>
    <row r="9" spans="3:18" x14ac:dyDescent="0.3">
      <c r="C9" s="63">
        <v>3928.44</v>
      </c>
      <c r="D9" s="63">
        <v>5712.07</v>
      </c>
      <c r="E9" s="62">
        <v>7.4999999999999997E-2</v>
      </c>
      <c r="J9" s="59" t="s">
        <v>88</v>
      </c>
      <c r="K9" s="59" t="s">
        <v>151</v>
      </c>
      <c r="L9" s="59" t="s">
        <v>153</v>
      </c>
      <c r="O9" s="59" t="s">
        <v>158</v>
      </c>
      <c r="P9" s="64">
        <f>P8/200</f>
        <v>7.7249999999999996</v>
      </c>
    </row>
    <row r="10" spans="3:18" x14ac:dyDescent="0.3">
      <c r="C10" s="63">
        <v>5714.08</v>
      </c>
      <c r="D10" s="63">
        <v>7142.61</v>
      </c>
      <c r="E10" s="62">
        <v>0.1</v>
      </c>
      <c r="J10" s="63">
        <v>5000</v>
      </c>
      <c r="K10" s="59">
        <v>34</v>
      </c>
      <c r="L10" s="63">
        <f>J10/K10</f>
        <v>147.05882352941177</v>
      </c>
      <c r="O10" s="59" t="s">
        <v>159</v>
      </c>
      <c r="P10" s="64">
        <f>P9*20%</f>
        <v>1.5449999999999999</v>
      </c>
    </row>
    <row r="11" spans="3:18" x14ac:dyDescent="0.3">
      <c r="C11" s="63">
        <v>7142.62</v>
      </c>
      <c r="D11" s="63">
        <v>8749.7199999999993</v>
      </c>
      <c r="E11" s="62">
        <v>0.15</v>
      </c>
      <c r="L11" s="60">
        <f>L10*10</f>
        <v>1470.5882352941176</v>
      </c>
      <c r="O11" s="59" t="s">
        <v>160</v>
      </c>
      <c r="P11" s="64">
        <f>P10*P7</f>
        <v>635.65714285714284</v>
      </c>
    </row>
    <row r="12" spans="3:18" x14ac:dyDescent="0.3">
      <c r="C12" s="63">
        <v>8749.73</v>
      </c>
      <c r="D12" s="63"/>
      <c r="E12" s="62">
        <v>0.2</v>
      </c>
      <c r="O12" s="59" t="s">
        <v>161</v>
      </c>
      <c r="P12" s="64">
        <f>P11/7</f>
        <v>90.808163265306121</v>
      </c>
      <c r="R12" s="60"/>
    </row>
    <row r="13" spans="3:18" x14ac:dyDescent="0.3">
      <c r="C13" s="72"/>
      <c r="D13" s="72"/>
      <c r="E13" s="73"/>
      <c r="R13" s="60"/>
    </row>
    <row r="14" spans="3:18" x14ac:dyDescent="0.3">
      <c r="C14" s="59" t="s">
        <v>133</v>
      </c>
      <c r="D14" s="76">
        <v>330</v>
      </c>
    </row>
    <row r="15" spans="3:18" x14ac:dyDescent="0.3">
      <c r="D15" s="74"/>
    </row>
    <row r="16" spans="3:18" x14ac:dyDescent="0.3">
      <c r="C16" s="182" t="s">
        <v>133</v>
      </c>
      <c r="D16" s="182"/>
      <c r="E16" s="182"/>
      <c r="K16" t="s">
        <v>128</v>
      </c>
      <c r="L16" t="s">
        <v>162</v>
      </c>
      <c r="M16" t="s">
        <v>111</v>
      </c>
    </row>
    <row r="17" spans="3:13" x14ac:dyDescent="0.3">
      <c r="C17" s="182" t="s">
        <v>130</v>
      </c>
      <c r="D17" s="182"/>
      <c r="E17" s="59" t="s">
        <v>131</v>
      </c>
      <c r="J17" t="s">
        <v>192</v>
      </c>
      <c r="K17">
        <v>1</v>
      </c>
      <c r="L17" s="69">
        <v>215.9901866317133</v>
      </c>
      <c r="M17" s="69">
        <f>L17/41</f>
        <v>5.2680533324808119</v>
      </c>
    </row>
    <row r="18" spans="3:13" x14ac:dyDescent="0.3">
      <c r="C18" s="63">
        <v>0</v>
      </c>
      <c r="D18" s="63">
        <v>2559.06</v>
      </c>
      <c r="E18" s="71">
        <v>0.7</v>
      </c>
      <c r="J18" t="s">
        <v>193</v>
      </c>
      <c r="K18">
        <v>1</v>
      </c>
      <c r="L18" s="69">
        <v>4159.6940544592435</v>
      </c>
      <c r="M18" s="69">
        <f t="shared" ref="M18:M24" si="0">L18/41</f>
        <v>101.45595254778642</v>
      </c>
    </row>
    <row r="19" spans="3:13" x14ac:dyDescent="0.3">
      <c r="C19" s="63">
        <v>2559.0700000000002</v>
      </c>
      <c r="D19" s="63">
        <v>4266.34</v>
      </c>
      <c r="E19" s="71">
        <v>0.6</v>
      </c>
      <c r="J19" t="s">
        <v>194</v>
      </c>
      <c r="K19">
        <v>1</v>
      </c>
      <c r="L19" s="69">
        <v>691.10235360978743</v>
      </c>
      <c r="M19" s="69">
        <f t="shared" si="0"/>
        <v>16.856154966092376</v>
      </c>
    </row>
    <row r="20" spans="3:13" x14ac:dyDescent="0.3">
      <c r="C20" s="63">
        <v>4266.3500000000004</v>
      </c>
      <c r="D20" s="63"/>
      <c r="E20" s="71">
        <v>0.5</v>
      </c>
      <c r="J20" t="s">
        <v>195</v>
      </c>
      <c r="K20">
        <v>1</v>
      </c>
      <c r="L20" s="69">
        <v>444.28008446343483</v>
      </c>
      <c r="M20" s="69">
        <f t="shared" si="0"/>
        <v>10.836099621059386</v>
      </c>
    </row>
    <row r="21" spans="3:13" x14ac:dyDescent="0.3">
      <c r="J21" t="s">
        <v>196</v>
      </c>
      <c r="K21">
        <v>1</v>
      </c>
      <c r="L21" s="69">
        <v>3540.3710723376548</v>
      </c>
      <c r="M21" s="69">
        <f t="shared" si="0"/>
        <v>86.350513959455</v>
      </c>
    </row>
    <row r="22" spans="3:13" x14ac:dyDescent="0.3">
      <c r="C22" t="s">
        <v>33</v>
      </c>
      <c r="D22" s="79">
        <v>0.01</v>
      </c>
      <c r="J22" t="s">
        <v>197</v>
      </c>
      <c r="K22">
        <v>1</v>
      </c>
      <c r="L22" s="69">
        <v>3466.4117120493702</v>
      </c>
      <c r="M22" s="69">
        <f t="shared" si="0"/>
        <v>84.546627123155375</v>
      </c>
    </row>
    <row r="23" spans="3:13" x14ac:dyDescent="0.3">
      <c r="C23" t="s">
        <v>30</v>
      </c>
      <c r="D23" s="79">
        <v>0</v>
      </c>
      <c r="J23" t="s">
        <v>198</v>
      </c>
      <c r="K23">
        <v>1</v>
      </c>
      <c r="L23" s="69">
        <v>2441.1164558594069</v>
      </c>
      <c r="M23" s="69">
        <f t="shared" si="0"/>
        <v>59.539425752668457</v>
      </c>
    </row>
    <row r="24" spans="3:13" x14ac:dyDescent="0.3">
      <c r="C24" t="s">
        <v>87</v>
      </c>
      <c r="D24" s="170">
        <v>4.4999999999999998E-2</v>
      </c>
      <c r="J24" t="s">
        <v>199</v>
      </c>
      <c r="K24">
        <v>1</v>
      </c>
      <c r="L24" s="69">
        <v>350.65319612046284</v>
      </c>
      <c r="M24" s="69">
        <f t="shared" si="0"/>
        <v>8.5525169785478745</v>
      </c>
    </row>
    <row r="27" spans="3:13" x14ac:dyDescent="0.3">
      <c r="C27">
        <v>694</v>
      </c>
      <c r="D27">
        <v>798</v>
      </c>
      <c r="J27" t="s">
        <v>98</v>
      </c>
      <c r="L27" s="60">
        <f>M19</f>
        <v>16.856154966092376</v>
      </c>
    </row>
    <row r="28" spans="3:13" x14ac:dyDescent="0.3">
      <c r="C28">
        <f>C27*6</f>
        <v>4164</v>
      </c>
      <c r="D28">
        <f>D27*6</f>
        <v>4788</v>
      </c>
      <c r="E28">
        <f>C28+D28</f>
        <v>8952</v>
      </c>
      <c r="J28" t="s">
        <v>99</v>
      </c>
      <c r="L28" s="60">
        <f>M24+M23</f>
        <v>68.091942731216335</v>
      </c>
    </row>
    <row r="29" spans="3:13" x14ac:dyDescent="0.3">
      <c r="E29">
        <f>E28/12</f>
        <v>746</v>
      </c>
      <c r="J29" t="s">
        <v>100</v>
      </c>
    </row>
    <row r="30" spans="3:13" x14ac:dyDescent="0.3">
      <c r="J30" t="s">
        <v>101</v>
      </c>
      <c r="L30" s="60">
        <f>M17+M18+M21+M22</f>
        <v>277.62114696287762</v>
      </c>
    </row>
    <row r="31" spans="3:13" x14ac:dyDescent="0.3">
      <c r="J31" t="s">
        <v>97</v>
      </c>
    </row>
    <row r="32" spans="3:13" x14ac:dyDescent="0.3">
      <c r="J32" t="s">
        <v>103</v>
      </c>
      <c r="L32" s="60">
        <f>M20</f>
        <v>10.836099621059386</v>
      </c>
    </row>
  </sheetData>
  <mergeCells count="6">
    <mergeCell ref="C6:D6"/>
    <mergeCell ref="C5:E5"/>
    <mergeCell ref="C16:E16"/>
    <mergeCell ref="C17:D17"/>
    <mergeCell ref="J3:L3"/>
    <mergeCell ref="J8:L8"/>
  </mergeCells>
  <pageMargins left="0.511811024" right="0.511811024" top="0.78740157499999996" bottom="0.78740157499999996" header="0.31496062000000002" footer="0.31496062000000002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FD0E1-063F-4DCB-BBAA-429202482D97}">
  <sheetPr codeName="Planilha26"/>
  <dimension ref="B3:T79"/>
  <sheetViews>
    <sheetView topLeftCell="G1" zoomScale="85" zoomScaleNormal="85" workbookViewId="0">
      <selection activeCell="M35" sqref="M35"/>
    </sheetView>
  </sheetViews>
  <sheetFormatPr defaultRowHeight="14.4" x14ac:dyDescent="0.3"/>
  <cols>
    <col min="2" max="2" width="6.5546875" bestFit="1" customWidth="1"/>
    <col min="3" max="3" width="15.88671875" style="106" customWidth="1"/>
    <col min="4" max="4" width="68.88671875" style="113" customWidth="1"/>
    <col min="5" max="5" width="11" customWidth="1"/>
    <col min="6" max="6" width="13.5546875" customWidth="1"/>
    <col min="7" max="9" width="15.44140625" customWidth="1"/>
    <col min="10" max="10" width="16" bestFit="1" customWidth="1"/>
    <col min="11" max="12" width="16" customWidth="1"/>
    <col min="13" max="13" width="26.109375" customWidth="1"/>
    <col min="14" max="18" width="16" customWidth="1"/>
    <col min="19" max="19" width="15.33203125" style="177" customWidth="1"/>
    <col min="20" max="20" width="22" style="177" customWidth="1"/>
    <col min="21" max="21" width="13.33203125" customWidth="1"/>
  </cols>
  <sheetData>
    <row r="3" spans="2:20" ht="18" x14ac:dyDescent="0.35">
      <c r="L3" s="174"/>
      <c r="M3" s="174"/>
      <c r="N3" s="174"/>
      <c r="O3" s="174"/>
      <c r="P3" s="174"/>
      <c r="Q3" s="174"/>
    </row>
    <row r="4" spans="2:20" ht="18" x14ac:dyDescent="0.35">
      <c r="B4" s="187" t="s">
        <v>252</v>
      </c>
      <c r="C4" s="187"/>
      <c r="D4" s="187"/>
      <c r="E4" s="187"/>
      <c r="F4" s="187"/>
      <c r="G4" s="187"/>
      <c r="H4" s="187"/>
      <c r="I4" s="187"/>
      <c r="J4" s="187"/>
      <c r="K4" s="174"/>
      <c r="L4" s="189" t="s">
        <v>251</v>
      </c>
      <c r="M4" s="189"/>
      <c r="N4" s="189"/>
      <c r="O4" s="189"/>
      <c r="P4" s="189"/>
      <c r="Q4" s="189"/>
      <c r="R4" s="189"/>
      <c r="S4" s="189"/>
      <c r="T4" s="190"/>
    </row>
    <row r="5" spans="2:20" ht="43.2" x14ac:dyDescent="0.3">
      <c r="B5" s="133" t="s">
        <v>227</v>
      </c>
      <c r="C5" s="134" t="s">
        <v>91</v>
      </c>
      <c r="D5" s="167" t="s">
        <v>216</v>
      </c>
      <c r="E5" s="134" t="s">
        <v>239</v>
      </c>
      <c r="F5" s="134" t="s">
        <v>217</v>
      </c>
      <c r="G5" s="134" t="s">
        <v>218</v>
      </c>
      <c r="H5" s="134" t="s">
        <v>241</v>
      </c>
      <c r="I5" s="134" t="s">
        <v>242</v>
      </c>
      <c r="J5" s="134" t="s">
        <v>244</v>
      </c>
      <c r="K5" s="175"/>
      <c r="L5" s="133" t="s">
        <v>227</v>
      </c>
      <c r="M5" s="134" t="s">
        <v>91</v>
      </c>
      <c r="N5" s="167" t="s">
        <v>216</v>
      </c>
      <c r="O5" s="134" t="s">
        <v>239</v>
      </c>
      <c r="P5" s="134" t="s">
        <v>217</v>
      </c>
      <c r="Q5" s="134" t="s">
        <v>218</v>
      </c>
      <c r="R5" s="134" t="s">
        <v>241</v>
      </c>
      <c r="S5" s="171" t="s">
        <v>249</v>
      </c>
      <c r="T5" s="171" t="s">
        <v>253</v>
      </c>
    </row>
    <row r="6" spans="2:20" ht="201.6" x14ac:dyDescent="0.3">
      <c r="B6" s="188">
        <v>1</v>
      </c>
      <c r="C6" s="109">
        <v>1</v>
      </c>
      <c r="D6" s="168" t="s">
        <v>228</v>
      </c>
      <c r="E6" s="109">
        <v>27260</v>
      </c>
      <c r="F6" s="132" t="s">
        <v>240</v>
      </c>
      <c r="G6" s="169">
        <v>2</v>
      </c>
      <c r="H6" s="132">
        <v>13323.98</v>
      </c>
      <c r="I6" s="132">
        <v>23935.18</v>
      </c>
      <c r="J6" s="110">
        <v>47870.36</v>
      </c>
      <c r="K6" s="176"/>
      <c r="L6" s="188">
        <v>1</v>
      </c>
      <c r="M6" s="109">
        <v>1</v>
      </c>
      <c r="N6" s="168" t="s">
        <v>228</v>
      </c>
      <c r="O6" s="109">
        <v>27260</v>
      </c>
      <c r="P6" s="132" t="s">
        <v>240</v>
      </c>
      <c r="Q6" s="169">
        <v>2</v>
      </c>
      <c r="R6" s="132">
        <v>13323.98</v>
      </c>
      <c r="S6" s="178">
        <f>'1'!E91</f>
        <v>23924.14823739705</v>
      </c>
      <c r="T6" s="178">
        <f t="shared" ref="T6:T16" si="0">S6*G6</f>
        <v>47848.296474794101</v>
      </c>
    </row>
    <row r="7" spans="2:20" ht="230.4" x14ac:dyDescent="0.3">
      <c r="B7" s="188"/>
      <c r="C7" s="109">
        <v>2</v>
      </c>
      <c r="D7" s="168" t="s">
        <v>229</v>
      </c>
      <c r="E7" s="109">
        <v>27260</v>
      </c>
      <c r="F7" s="132" t="s">
        <v>240</v>
      </c>
      <c r="G7" s="169">
        <v>2</v>
      </c>
      <c r="H7" s="132">
        <v>13567.11</v>
      </c>
      <c r="I7" s="132">
        <v>24355.890000000007</v>
      </c>
      <c r="J7" s="110">
        <v>48711.780000000013</v>
      </c>
      <c r="K7" s="176"/>
      <c r="L7" s="188"/>
      <c r="M7" s="109">
        <v>2</v>
      </c>
      <c r="N7" s="168" t="s">
        <v>229</v>
      </c>
      <c r="O7" s="109">
        <v>27260</v>
      </c>
      <c r="P7" s="132" t="s">
        <v>240</v>
      </c>
      <c r="Q7" s="169">
        <v>2</v>
      </c>
      <c r="R7" s="132">
        <v>13567.11</v>
      </c>
      <c r="S7" s="178">
        <f>'2'!E91</f>
        <v>24342.63771967524</v>
      </c>
      <c r="T7" s="178">
        <f t="shared" si="0"/>
        <v>48685.27543935048</v>
      </c>
    </row>
    <row r="8" spans="2:20" ht="172.8" x14ac:dyDescent="0.3">
      <c r="B8" s="188"/>
      <c r="C8" s="109">
        <v>3</v>
      </c>
      <c r="D8" s="168" t="s">
        <v>230</v>
      </c>
      <c r="E8" s="109">
        <v>27260</v>
      </c>
      <c r="F8" s="132" t="s">
        <v>240</v>
      </c>
      <c r="G8" s="169">
        <v>2</v>
      </c>
      <c r="H8" s="132">
        <v>13432.56</v>
      </c>
      <c r="I8" s="132">
        <v>24123.065000000002</v>
      </c>
      <c r="J8" s="110">
        <v>48246.130000000005</v>
      </c>
      <c r="K8" s="176"/>
      <c r="L8" s="188"/>
      <c r="M8" s="109">
        <v>3</v>
      </c>
      <c r="N8" s="168" t="s">
        <v>230</v>
      </c>
      <c r="O8" s="109">
        <v>27260</v>
      </c>
      <c r="P8" s="132" t="s">
        <v>240</v>
      </c>
      <c r="Q8" s="169">
        <v>2</v>
      </c>
      <c r="R8" s="132">
        <v>13432.56</v>
      </c>
      <c r="S8" s="178">
        <f>'3'!E91</f>
        <v>24111.047690395455</v>
      </c>
      <c r="T8" s="178">
        <f t="shared" si="0"/>
        <v>48222.09538079091</v>
      </c>
    </row>
    <row r="9" spans="2:20" ht="45" customHeight="1" x14ac:dyDescent="0.3">
      <c r="B9" s="188"/>
      <c r="C9" s="109">
        <v>4</v>
      </c>
      <c r="D9" s="168" t="s">
        <v>231</v>
      </c>
      <c r="E9" s="109">
        <v>27260</v>
      </c>
      <c r="F9" s="132" t="s">
        <v>240</v>
      </c>
      <c r="G9" s="169">
        <v>1</v>
      </c>
      <c r="H9" s="132">
        <v>8300</v>
      </c>
      <c r="I9" s="132">
        <v>15284.670000000002</v>
      </c>
      <c r="J9" s="110">
        <v>15284.670000000002</v>
      </c>
      <c r="K9" s="176"/>
      <c r="L9" s="188"/>
      <c r="M9" s="109">
        <v>4</v>
      </c>
      <c r="N9" s="168" t="s">
        <v>231</v>
      </c>
      <c r="O9" s="109">
        <v>27260</v>
      </c>
      <c r="P9" s="132" t="s">
        <v>240</v>
      </c>
      <c r="Q9" s="169">
        <v>1</v>
      </c>
      <c r="R9" s="132">
        <v>8300</v>
      </c>
      <c r="S9" s="178">
        <f>'4'!E91</f>
        <v>15317.610709326531</v>
      </c>
      <c r="T9" s="178">
        <f t="shared" si="0"/>
        <v>15317.610709326531</v>
      </c>
    </row>
    <row r="10" spans="2:20" ht="187.2" x14ac:dyDescent="0.3">
      <c r="B10" s="188"/>
      <c r="C10" s="109">
        <v>5</v>
      </c>
      <c r="D10" s="168" t="s">
        <v>232</v>
      </c>
      <c r="E10" s="109">
        <v>27260</v>
      </c>
      <c r="F10" s="132" t="s">
        <v>240</v>
      </c>
      <c r="G10" s="169">
        <v>5</v>
      </c>
      <c r="H10" s="132">
        <v>13905.73</v>
      </c>
      <c r="I10" s="132">
        <v>24941.835999999999</v>
      </c>
      <c r="J10" s="110">
        <v>124709.18</v>
      </c>
      <c r="K10" s="176"/>
      <c r="L10" s="188"/>
      <c r="M10" s="109">
        <v>5</v>
      </c>
      <c r="N10" s="168" t="s">
        <v>232</v>
      </c>
      <c r="O10" s="109">
        <v>27260</v>
      </c>
      <c r="P10" s="132" t="s">
        <v>240</v>
      </c>
      <c r="Q10" s="169">
        <v>5</v>
      </c>
      <c r="R10" s="132">
        <v>13905.73</v>
      </c>
      <c r="S10" s="178">
        <f>'5'!E91</f>
        <v>24925.49243239532</v>
      </c>
      <c r="T10" s="178">
        <f t="shared" si="0"/>
        <v>124627.4621619766</v>
      </c>
    </row>
    <row r="11" spans="2:20" ht="201.6" x14ac:dyDescent="0.3">
      <c r="B11" s="188"/>
      <c r="C11" s="109">
        <v>6</v>
      </c>
      <c r="D11" s="168" t="s">
        <v>233</v>
      </c>
      <c r="E11" s="109">
        <v>27260</v>
      </c>
      <c r="F11" s="132" t="s">
        <v>240</v>
      </c>
      <c r="G11" s="169">
        <v>5</v>
      </c>
      <c r="H11" s="132">
        <v>9026.91</v>
      </c>
      <c r="I11" s="132">
        <v>16499.561999999991</v>
      </c>
      <c r="J11" s="110">
        <v>82497.809999999954</v>
      </c>
      <c r="K11" s="176"/>
      <c r="L11" s="188"/>
      <c r="M11" s="109">
        <v>6</v>
      </c>
      <c r="N11" s="168" t="s">
        <v>233</v>
      </c>
      <c r="O11" s="109">
        <v>27260</v>
      </c>
      <c r="P11" s="132" t="s">
        <v>240</v>
      </c>
      <c r="Q11" s="169">
        <v>5</v>
      </c>
      <c r="R11" s="132">
        <v>9026.91</v>
      </c>
      <c r="S11" s="178">
        <f>'6'!E91</f>
        <v>16527.801350810121</v>
      </c>
      <c r="T11" s="178">
        <f t="shared" si="0"/>
        <v>82639.006754050613</v>
      </c>
    </row>
    <row r="12" spans="2:20" ht="172.8" x14ac:dyDescent="0.3">
      <c r="B12" s="188"/>
      <c r="C12" s="109">
        <v>7</v>
      </c>
      <c r="D12" s="168" t="s">
        <v>234</v>
      </c>
      <c r="E12" s="109">
        <v>27260</v>
      </c>
      <c r="F12" s="132" t="s">
        <v>240</v>
      </c>
      <c r="G12" s="169">
        <v>1</v>
      </c>
      <c r="H12" s="132">
        <v>13814.53</v>
      </c>
      <c r="I12" s="132">
        <v>24784.020000000004</v>
      </c>
      <c r="J12" s="110">
        <v>24784.020000000004</v>
      </c>
      <c r="K12" s="176"/>
      <c r="L12" s="188"/>
      <c r="M12" s="109">
        <v>7</v>
      </c>
      <c r="N12" s="168" t="s">
        <v>234</v>
      </c>
      <c r="O12" s="109">
        <v>27260</v>
      </c>
      <c r="P12" s="132" t="s">
        <v>240</v>
      </c>
      <c r="Q12" s="169">
        <v>1</v>
      </c>
      <c r="R12" s="132">
        <v>13814.53</v>
      </c>
      <c r="S12" s="178">
        <f>'7'!E91</f>
        <v>24768.514423667817</v>
      </c>
      <c r="T12" s="178">
        <f t="shared" si="0"/>
        <v>24768.514423667817</v>
      </c>
    </row>
    <row r="13" spans="2:20" ht="158.4" x14ac:dyDescent="0.3">
      <c r="B13" s="188"/>
      <c r="C13" s="109">
        <v>8</v>
      </c>
      <c r="D13" s="168" t="s">
        <v>235</v>
      </c>
      <c r="E13" s="109">
        <v>27260</v>
      </c>
      <c r="F13" s="132" t="s">
        <v>240</v>
      </c>
      <c r="G13" s="169">
        <v>4</v>
      </c>
      <c r="H13" s="132">
        <v>16078.2</v>
      </c>
      <c r="I13" s="132">
        <v>28701.062500000007</v>
      </c>
      <c r="J13" s="110">
        <v>114804.25000000003</v>
      </c>
      <c r="K13" s="176"/>
      <c r="L13" s="188"/>
      <c r="M13" s="109">
        <v>8</v>
      </c>
      <c r="N13" s="168" t="s">
        <v>235</v>
      </c>
      <c r="O13" s="109">
        <v>27260</v>
      </c>
      <c r="P13" s="132" t="s">
        <v>240</v>
      </c>
      <c r="Q13" s="169">
        <v>4</v>
      </c>
      <c r="R13" s="132">
        <v>16078.2</v>
      </c>
      <c r="S13" s="178">
        <f>'8'!E91</f>
        <v>28664.854681281198</v>
      </c>
      <c r="T13" s="178">
        <f t="shared" si="0"/>
        <v>114659.41872512479</v>
      </c>
    </row>
    <row r="14" spans="2:20" ht="158.4" x14ac:dyDescent="0.3">
      <c r="B14" s="188"/>
      <c r="C14" s="109">
        <v>9</v>
      </c>
      <c r="D14" s="168" t="s">
        <v>236</v>
      </c>
      <c r="E14" s="109">
        <v>27260</v>
      </c>
      <c r="F14" s="132" t="s">
        <v>240</v>
      </c>
      <c r="G14" s="169">
        <v>12</v>
      </c>
      <c r="H14" s="132">
        <v>11326.16</v>
      </c>
      <c r="I14" s="132">
        <v>20478.167500000003</v>
      </c>
      <c r="J14" s="110">
        <v>245738.01000000004</v>
      </c>
      <c r="K14" s="176"/>
      <c r="L14" s="188"/>
      <c r="M14" s="109">
        <v>9</v>
      </c>
      <c r="N14" s="168" t="s">
        <v>236</v>
      </c>
      <c r="O14" s="109">
        <v>27260</v>
      </c>
      <c r="P14" s="132" t="s">
        <v>240</v>
      </c>
      <c r="Q14" s="169">
        <v>12</v>
      </c>
      <c r="R14" s="132">
        <v>11326.16</v>
      </c>
      <c r="S14" s="178">
        <f>'9'!E91</f>
        <v>20485.395365897617</v>
      </c>
      <c r="T14" s="178">
        <f t="shared" si="0"/>
        <v>245824.7443907714</v>
      </c>
    </row>
    <row r="15" spans="2:20" ht="158.4" x14ac:dyDescent="0.3">
      <c r="B15" s="188"/>
      <c r="C15" s="109">
        <v>10</v>
      </c>
      <c r="D15" s="168" t="s">
        <v>237</v>
      </c>
      <c r="E15" s="109">
        <v>27260</v>
      </c>
      <c r="F15" s="132" t="s">
        <v>240</v>
      </c>
      <c r="G15" s="169">
        <v>1</v>
      </c>
      <c r="H15" s="132">
        <v>12262.56</v>
      </c>
      <c r="I15" s="132">
        <v>22098.509999999995</v>
      </c>
      <c r="J15" s="110">
        <v>22098.509999999995</v>
      </c>
      <c r="K15" s="176"/>
      <c r="L15" s="188"/>
      <c r="M15" s="109">
        <v>10</v>
      </c>
      <c r="N15" s="168" t="s">
        <v>237</v>
      </c>
      <c r="O15" s="109">
        <v>27260</v>
      </c>
      <c r="P15" s="132" t="s">
        <v>240</v>
      </c>
      <c r="Q15" s="169">
        <v>1</v>
      </c>
      <c r="R15" s="132">
        <v>12262.56</v>
      </c>
      <c r="S15" s="178">
        <f>'10'!E91</f>
        <v>22097.17395550766</v>
      </c>
      <c r="T15" s="178">
        <f t="shared" si="0"/>
        <v>22097.17395550766</v>
      </c>
    </row>
    <row r="16" spans="2:20" ht="158.4" x14ac:dyDescent="0.3">
      <c r="B16" s="188"/>
      <c r="C16" s="109">
        <v>11</v>
      </c>
      <c r="D16" s="168" t="s">
        <v>238</v>
      </c>
      <c r="E16" s="109">
        <v>27260</v>
      </c>
      <c r="F16" s="132" t="s">
        <v>240</v>
      </c>
      <c r="G16" s="169">
        <v>2</v>
      </c>
      <c r="H16" s="132">
        <v>9100.92</v>
      </c>
      <c r="I16" s="132">
        <v>16627.630000000005</v>
      </c>
      <c r="J16" s="110">
        <v>33255.260000000009</v>
      </c>
      <c r="K16" s="176"/>
      <c r="L16" s="188"/>
      <c r="M16" s="109">
        <v>11</v>
      </c>
      <c r="N16" s="168" t="s">
        <v>238</v>
      </c>
      <c r="O16" s="109">
        <v>27260</v>
      </c>
      <c r="P16" s="132" t="s">
        <v>240</v>
      </c>
      <c r="Q16" s="169">
        <v>2</v>
      </c>
      <c r="R16" s="132">
        <v>9100.92</v>
      </c>
      <c r="S16" s="178">
        <f>'11'!E91</f>
        <v>16655.190792319532</v>
      </c>
      <c r="T16" s="178">
        <f t="shared" si="0"/>
        <v>33310.381584639064</v>
      </c>
    </row>
    <row r="17" spans="2:20" ht="15.6" x14ac:dyDescent="0.3">
      <c r="B17" s="186" t="s">
        <v>243</v>
      </c>
      <c r="C17" s="186"/>
      <c r="D17" s="186"/>
      <c r="E17" s="186"/>
      <c r="F17" s="186"/>
      <c r="G17" s="169">
        <v>37</v>
      </c>
      <c r="H17" s="184" t="s">
        <v>245</v>
      </c>
      <c r="I17" s="184"/>
      <c r="J17" s="77">
        <v>807999.98</v>
      </c>
      <c r="K17" s="173"/>
      <c r="L17" s="186" t="s">
        <v>243</v>
      </c>
      <c r="M17" s="186"/>
      <c r="N17" s="186"/>
      <c r="O17" s="186"/>
      <c r="P17" s="186"/>
      <c r="Q17" s="169">
        <f>SUM(Q6:Q16)</f>
        <v>37</v>
      </c>
      <c r="R17" s="184" t="s">
        <v>245</v>
      </c>
      <c r="S17" s="184"/>
      <c r="T17" s="179">
        <f>SUM(T6:T16)</f>
        <v>807999.98</v>
      </c>
    </row>
    <row r="18" spans="2:20" ht="15.6" x14ac:dyDescent="0.3">
      <c r="B18" s="185"/>
      <c r="C18" s="185"/>
      <c r="D18" s="185"/>
      <c r="E18" s="185"/>
      <c r="F18" s="185"/>
      <c r="G18" s="185"/>
      <c r="H18" s="184" t="s">
        <v>246</v>
      </c>
      <c r="I18" s="184"/>
      <c r="J18" s="77">
        <v>9695999.7599999998</v>
      </c>
      <c r="K18" s="173"/>
      <c r="L18" s="185"/>
      <c r="M18" s="185"/>
      <c r="N18" s="185"/>
      <c r="O18" s="185"/>
      <c r="P18" s="185"/>
      <c r="Q18" s="185"/>
      <c r="R18" s="184" t="s">
        <v>246</v>
      </c>
      <c r="S18" s="184"/>
      <c r="T18" s="179">
        <f>T17*12</f>
        <v>9695999.7599999998</v>
      </c>
    </row>
    <row r="20" spans="2:20" x14ac:dyDescent="0.3">
      <c r="J20" s="56"/>
      <c r="K20" s="56"/>
      <c r="L20" s="56"/>
      <c r="M20" s="56"/>
      <c r="N20" s="56"/>
      <c r="O20" s="56"/>
      <c r="P20" s="56"/>
      <c r="Q20" s="56"/>
      <c r="R20" s="56"/>
    </row>
    <row r="78" spans="2:3" x14ac:dyDescent="0.3">
      <c r="C78" s="106">
        <f>B78*(C75+C66+C54+C45+C20)</f>
        <v>0</v>
      </c>
    </row>
    <row r="79" spans="2:3" x14ac:dyDescent="0.3">
      <c r="B79" s="170">
        <v>3.8300000000000001E-2</v>
      </c>
      <c r="C79" s="106">
        <f>B79*(C78+C75+C66+C54+C45+C20)</f>
        <v>0</v>
      </c>
    </row>
  </sheetData>
  <mergeCells count="12">
    <mergeCell ref="L18:Q18"/>
    <mergeCell ref="R18:S18"/>
    <mergeCell ref="L6:L16"/>
    <mergeCell ref="L4:T4"/>
    <mergeCell ref="L17:P17"/>
    <mergeCell ref="R17:S17"/>
    <mergeCell ref="H18:I18"/>
    <mergeCell ref="B18:G18"/>
    <mergeCell ref="B17:F17"/>
    <mergeCell ref="B4:J4"/>
    <mergeCell ref="B6:B16"/>
    <mergeCell ref="H17:I17"/>
  </mergeCells>
  <printOptions horizontalCentered="1"/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>
    <pageSetUpPr fitToPage="1"/>
  </sheetPr>
  <dimension ref="A1:P95"/>
  <sheetViews>
    <sheetView tabSelected="1" topLeftCell="A7" zoomScale="115" zoomScaleNormal="115" workbookViewId="0">
      <selection activeCell="J59" sqref="J59"/>
    </sheetView>
  </sheetViews>
  <sheetFormatPr defaultColWidth="9.109375" defaultRowHeight="11.4" x14ac:dyDescent="0.3"/>
  <cols>
    <col min="1" max="1" width="2" style="2" bestFit="1" customWidth="1"/>
    <col min="2" max="2" width="13.6640625" style="1" customWidth="1"/>
    <col min="3" max="3" width="59.44140625" style="1" customWidth="1"/>
    <col min="4" max="4" width="12.109375" style="1" customWidth="1"/>
    <col min="5" max="5" width="15.44140625" style="1" bestFit="1" customWidth="1"/>
    <col min="6" max="6" width="1.6640625" style="1" customWidth="1"/>
    <col min="7" max="7" width="1.6640625" style="2" customWidth="1"/>
    <col min="8" max="8" width="18.33203125" style="2" hidden="1" customWidth="1"/>
    <col min="9" max="9" width="9.109375" style="2" customWidth="1"/>
    <col min="10" max="10" width="27.109375" style="2" customWidth="1"/>
    <col min="11" max="11" width="9.109375" style="2" customWidth="1"/>
    <col min="12" max="12" width="18.5546875" style="2" customWidth="1"/>
    <col min="13" max="13" width="13.109375" style="2" customWidth="1"/>
    <col min="14" max="18" width="9.109375" style="2" customWidth="1"/>
    <col min="19" max="16384" width="9.109375" style="2"/>
  </cols>
  <sheetData>
    <row r="1" spans="2:15" ht="14.25" customHeight="1" thickBot="1" x14ac:dyDescent="0.35"/>
    <row r="2" spans="2:15" s="1" customFormat="1" ht="22.5" customHeight="1" thickBot="1" x14ac:dyDescent="0.35">
      <c r="B2" s="239" t="s">
        <v>73</v>
      </c>
      <c r="C2" s="240"/>
      <c r="D2" s="240"/>
      <c r="E2" s="241"/>
      <c r="G2" s="3"/>
      <c r="I2" s="3"/>
    </row>
    <row r="3" spans="2:15" ht="14.25" customHeight="1" thickBot="1" x14ac:dyDescent="0.35">
      <c r="I3" s="3"/>
    </row>
    <row r="4" spans="2:15" ht="14.25" customHeight="1" x14ac:dyDescent="0.3">
      <c r="B4" s="218" t="s">
        <v>2</v>
      </c>
      <c r="C4" s="219"/>
      <c r="D4" s="219"/>
      <c r="E4" s="220"/>
      <c r="I4" s="3"/>
    </row>
    <row r="5" spans="2:15" ht="14.25" customHeight="1" x14ac:dyDescent="0.3">
      <c r="B5" s="242" t="s">
        <v>3</v>
      </c>
      <c r="C5" s="243"/>
      <c r="D5" s="244"/>
      <c r="E5" s="4"/>
      <c r="I5" s="3"/>
    </row>
    <row r="6" spans="2:15" ht="14.25" customHeight="1" x14ac:dyDescent="0.3">
      <c r="B6" s="201" t="s">
        <v>4</v>
      </c>
      <c r="C6" s="202"/>
      <c r="D6" s="203"/>
      <c r="E6" s="5" t="s">
        <v>5</v>
      </c>
      <c r="I6" s="3"/>
    </row>
    <row r="7" spans="2:15" ht="14.25" customHeight="1" x14ac:dyDescent="0.3">
      <c r="B7" s="201" t="s">
        <v>6</v>
      </c>
      <c r="C7" s="202"/>
      <c r="D7" s="203"/>
      <c r="E7" s="5" t="s">
        <v>148</v>
      </c>
      <c r="I7" s="3"/>
    </row>
    <row r="8" spans="2:15" ht="14.25" customHeight="1" thickBot="1" x14ac:dyDescent="0.35">
      <c r="B8" s="236" t="s">
        <v>7</v>
      </c>
      <c r="C8" s="237"/>
      <c r="D8" s="238"/>
      <c r="E8" s="6">
        <v>12</v>
      </c>
      <c r="I8" s="3"/>
    </row>
    <row r="9" spans="2:15" ht="14.25" customHeight="1" thickBot="1" x14ac:dyDescent="0.35">
      <c r="I9" s="3"/>
    </row>
    <row r="10" spans="2:15" ht="14.25" customHeight="1" thickBot="1" x14ac:dyDescent="0.35">
      <c r="B10" s="218" t="s">
        <v>8</v>
      </c>
      <c r="C10" s="219"/>
      <c r="D10" s="219"/>
      <c r="E10" s="220"/>
      <c r="I10" s="3"/>
    </row>
    <row r="11" spans="2:15" s="10" customFormat="1" ht="33" customHeight="1" x14ac:dyDescent="0.3">
      <c r="B11" s="221" t="s">
        <v>9</v>
      </c>
      <c r="C11" s="222"/>
      <c r="D11" s="7" t="s">
        <v>10</v>
      </c>
      <c r="E11" s="8" t="s">
        <v>11</v>
      </c>
      <c r="F11" s="9"/>
      <c r="I11" s="11"/>
      <c r="J11" s="11"/>
      <c r="K11" s="11"/>
      <c r="L11" s="34"/>
      <c r="M11" s="11"/>
      <c r="N11" s="11"/>
      <c r="O11" s="11"/>
    </row>
    <row r="12" spans="2:15" s="10" customFormat="1" ht="12" x14ac:dyDescent="0.3">
      <c r="B12" s="234" t="s">
        <v>91</v>
      </c>
      <c r="C12" s="235"/>
      <c r="D12" s="235"/>
      <c r="E12" s="61" t="s">
        <v>89</v>
      </c>
      <c r="F12" s="9"/>
      <c r="I12" s="11"/>
      <c r="J12" s="11"/>
      <c r="K12" s="11"/>
      <c r="L12" s="11"/>
      <c r="M12" s="11"/>
      <c r="N12" s="11"/>
      <c r="O12" s="11"/>
    </row>
    <row r="13" spans="2:15" ht="14.25" customHeight="1" thickBot="1" x14ac:dyDescent="0.35">
      <c r="B13" s="223" t="s">
        <v>226</v>
      </c>
      <c r="C13" s="224"/>
      <c r="D13" s="12" t="s">
        <v>12</v>
      </c>
      <c r="E13" s="13">
        <v>2</v>
      </c>
      <c r="F13" s="14"/>
      <c r="H13" s="15"/>
      <c r="I13" s="11"/>
      <c r="J13" s="11"/>
      <c r="K13" s="11"/>
      <c r="L13" s="11"/>
      <c r="M13" s="11"/>
      <c r="N13" s="11"/>
      <c r="O13" s="11"/>
    </row>
    <row r="14" spans="2:15" ht="14.25" customHeight="1" thickBot="1" x14ac:dyDescent="0.35">
      <c r="H14" s="11"/>
      <c r="I14" s="11"/>
      <c r="J14" s="11"/>
      <c r="K14" s="11"/>
      <c r="L14" s="11"/>
      <c r="M14" s="11"/>
      <c r="N14" s="11"/>
      <c r="O14" s="11"/>
    </row>
    <row r="15" spans="2:15" ht="14.25" customHeight="1" x14ac:dyDescent="0.3">
      <c r="B15" s="218" t="s">
        <v>13</v>
      </c>
      <c r="C15" s="219"/>
      <c r="D15" s="219"/>
      <c r="E15" s="220"/>
      <c r="H15" s="11"/>
      <c r="I15" s="11"/>
      <c r="J15" s="11"/>
      <c r="K15" s="11"/>
      <c r="L15" s="11"/>
      <c r="M15" s="11"/>
      <c r="N15" s="11"/>
      <c r="O15" s="11"/>
    </row>
    <row r="16" spans="2:15" ht="14.25" customHeight="1" x14ac:dyDescent="0.3">
      <c r="B16" s="16">
        <v>1</v>
      </c>
      <c r="C16" s="225" t="s">
        <v>14</v>
      </c>
      <c r="D16" s="226"/>
      <c r="E16" s="17"/>
      <c r="H16" s="11"/>
      <c r="I16" s="11"/>
      <c r="J16" s="11"/>
      <c r="K16" s="11"/>
      <c r="L16" s="11"/>
      <c r="M16" s="11"/>
      <c r="N16" s="11"/>
      <c r="O16" s="11"/>
    </row>
    <row r="17" spans="1:15" ht="14.25" customHeight="1" x14ac:dyDescent="0.3">
      <c r="B17" s="18">
        <v>2</v>
      </c>
      <c r="C17" s="227" t="s">
        <v>15</v>
      </c>
      <c r="D17" s="228"/>
      <c r="E17" s="17"/>
      <c r="H17" s="11"/>
      <c r="I17" s="11"/>
      <c r="J17" s="11"/>
      <c r="K17" s="11"/>
      <c r="L17" s="11"/>
      <c r="M17" s="11"/>
      <c r="N17" s="11"/>
      <c r="O17" s="11"/>
    </row>
    <row r="18" spans="1:15" ht="14.25" customHeight="1" x14ac:dyDescent="0.3">
      <c r="B18" s="18">
        <v>3</v>
      </c>
      <c r="C18" s="227" t="s">
        <v>16</v>
      </c>
      <c r="D18" s="228"/>
      <c r="E18" s="17"/>
      <c r="H18" s="11"/>
      <c r="I18" s="11"/>
      <c r="J18" s="11"/>
      <c r="K18" s="11"/>
      <c r="L18" s="11"/>
      <c r="M18" s="11"/>
      <c r="N18" s="11"/>
      <c r="O18" s="11"/>
    </row>
    <row r="19" spans="1:15" ht="14.25" customHeight="1" thickBot="1" x14ac:dyDescent="0.35">
      <c r="B19" s="19">
        <v>4</v>
      </c>
      <c r="C19" s="229" t="s">
        <v>17</v>
      </c>
      <c r="D19" s="230"/>
      <c r="E19" s="55"/>
      <c r="H19" s="11"/>
      <c r="I19" s="11"/>
      <c r="J19" s="11"/>
      <c r="K19" s="11"/>
      <c r="L19" s="11"/>
      <c r="M19" s="11"/>
      <c r="N19" s="11"/>
      <c r="O19" s="11"/>
    </row>
    <row r="20" spans="1:15" ht="14.25" customHeight="1" thickBot="1" x14ac:dyDescent="0.35">
      <c r="H20" s="11"/>
      <c r="I20" s="11"/>
      <c r="J20" s="11"/>
      <c r="K20" s="11"/>
      <c r="L20" s="11"/>
      <c r="M20" s="11"/>
      <c r="N20" s="11"/>
      <c r="O20" s="11"/>
    </row>
    <row r="21" spans="1:15" ht="14.25" customHeight="1" x14ac:dyDescent="0.3">
      <c r="B21" s="231" t="s">
        <v>18</v>
      </c>
      <c r="C21" s="232"/>
      <c r="D21" s="232"/>
      <c r="E21" s="233"/>
      <c r="F21" s="20"/>
      <c r="H21" s="11"/>
      <c r="I21" s="11"/>
      <c r="J21" s="11"/>
      <c r="K21" s="11"/>
      <c r="L21" s="11"/>
      <c r="M21" s="11"/>
      <c r="N21" s="11"/>
      <c r="O21" s="11"/>
    </row>
    <row r="22" spans="1:15" ht="14.25" customHeight="1" x14ac:dyDescent="0.3">
      <c r="B22" s="21" t="s">
        <v>19</v>
      </c>
      <c r="C22" s="22"/>
      <c r="D22" s="23"/>
      <c r="E22" s="17">
        <v>13323.98</v>
      </c>
      <c r="F22" s="24"/>
      <c r="H22" s="17">
        <v>13323.98</v>
      </c>
      <c r="I22" s="11"/>
      <c r="J22" s="11"/>
      <c r="K22" s="11"/>
      <c r="L22" s="11"/>
      <c r="M22" s="11"/>
      <c r="N22" s="11"/>
      <c r="O22" s="11"/>
    </row>
    <row r="23" spans="1:15" ht="14.25" customHeight="1" x14ac:dyDescent="0.3">
      <c r="B23" s="25" t="s">
        <v>74</v>
      </c>
      <c r="C23" s="26"/>
      <c r="D23" s="27"/>
      <c r="E23" s="17"/>
      <c r="F23" s="24"/>
      <c r="H23" s="17"/>
      <c r="I23" s="11"/>
      <c r="J23" s="11"/>
      <c r="K23" s="11"/>
      <c r="L23" s="11"/>
      <c r="M23" s="11"/>
      <c r="N23" s="11"/>
      <c r="O23" s="11"/>
    </row>
    <row r="24" spans="1:15" ht="14.25" customHeight="1" x14ac:dyDescent="0.3">
      <c r="B24" s="25" t="s">
        <v>20</v>
      </c>
      <c r="C24" s="26"/>
      <c r="D24" s="27"/>
      <c r="E24" s="17"/>
      <c r="F24" s="24"/>
      <c r="H24" s="17"/>
      <c r="I24" s="11"/>
      <c r="J24" s="11"/>
      <c r="K24" s="11"/>
      <c r="L24" s="11"/>
      <c r="M24" s="11"/>
      <c r="N24" s="11"/>
      <c r="O24" s="11"/>
    </row>
    <row r="25" spans="1:15" ht="14.25" customHeight="1" thickBot="1" x14ac:dyDescent="0.35">
      <c r="B25" s="191" t="s">
        <v>21</v>
      </c>
      <c r="C25" s="192"/>
      <c r="D25" s="193"/>
      <c r="E25" s="28">
        <v>13323.98</v>
      </c>
      <c r="F25" s="29"/>
      <c r="H25" s="28">
        <v>13323.98</v>
      </c>
      <c r="I25" s="11"/>
      <c r="J25" s="11"/>
      <c r="K25" s="11"/>
      <c r="L25" s="11"/>
      <c r="M25" s="11"/>
      <c r="N25" s="11"/>
      <c r="O25" s="11"/>
    </row>
    <row r="26" spans="1:15" ht="14.25" customHeight="1" thickBot="1" x14ac:dyDescent="0.35">
      <c r="H26" s="11"/>
      <c r="I26" s="11"/>
      <c r="J26" s="11"/>
      <c r="K26" s="11"/>
      <c r="L26" s="11"/>
      <c r="M26" s="11"/>
      <c r="N26" s="11"/>
      <c r="O26" s="11"/>
    </row>
    <row r="27" spans="1:15" ht="14.25" customHeight="1" thickBot="1" x14ac:dyDescent="0.35">
      <c r="B27" s="194" t="s">
        <v>22</v>
      </c>
      <c r="C27" s="195"/>
      <c r="D27" s="195"/>
      <c r="E27" s="196"/>
      <c r="F27" s="20"/>
      <c r="H27" s="11"/>
      <c r="I27" s="11"/>
      <c r="J27" s="11"/>
      <c r="K27" s="11"/>
      <c r="L27" s="11"/>
      <c r="M27" s="11"/>
      <c r="N27" s="11"/>
      <c r="O27" s="11"/>
    </row>
    <row r="28" spans="1:15" ht="14.25" customHeight="1" x14ac:dyDescent="0.3">
      <c r="B28" s="212" t="s">
        <v>23</v>
      </c>
      <c r="C28" s="213"/>
      <c r="D28" s="213"/>
      <c r="E28" s="214"/>
      <c r="H28" s="11"/>
      <c r="I28" s="11"/>
      <c r="J28" s="11"/>
      <c r="K28" s="11"/>
      <c r="L28" s="11"/>
      <c r="M28" s="11"/>
      <c r="N28" s="11"/>
      <c r="O28" s="11"/>
    </row>
    <row r="29" spans="1:15" ht="14.25" customHeight="1" x14ac:dyDescent="0.3">
      <c r="A29" s="2" t="s">
        <v>24</v>
      </c>
      <c r="B29" s="21" t="s">
        <v>25</v>
      </c>
      <c r="C29" s="22"/>
      <c r="D29" s="30">
        <v>8.3299999999999999E-2</v>
      </c>
      <c r="E29" s="172">
        <f>D29*E22</f>
        <v>1109.887534</v>
      </c>
      <c r="F29" s="32"/>
      <c r="H29" s="57">
        <v>1110.3316666666699</v>
      </c>
      <c r="I29" s="11"/>
      <c r="J29" s="11"/>
      <c r="K29" s="11"/>
      <c r="L29" s="11"/>
      <c r="M29" s="11"/>
      <c r="N29" s="11"/>
      <c r="O29" s="11"/>
    </row>
    <row r="30" spans="1:15" ht="14.25" customHeight="1" x14ac:dyDescent="0.3">
      <c r="A30" s="2" t="s">
        <v>26</v>
      </c>
      <c r="B30" s="21" t="s">
        <v>27</v>
      </c>
      <c r="C30" s="22"/>
      <c r="D30" s="30">
        <v>0.121</v>
      </c>
      <c r="E30" s="172">
        <f>D30*E25</f>
        <v>1612.2015799999999</v>
      </c>
      <c r="F30" s="32"/>
      <c r="H30" s="57">
        <v>618.52876044444281</v>
      </c>
      <c r="I30" s="11"/>
      <c r="J30" s="11"/>
      <c r="K30" s="11"/>
      <c r="L30" s="11"/>
      <c r="M30" s="11"/>
      <c r="N30" s="11"/>
      <c r="O30" s="11"/>
    </row>
    <row r="31" spans="1:15" ht="14.25" customHeight="1" thickBot="1" x14ac:dyDescent="0.35">
      <c r="B31" s="93" t="s">
        <v>163</v>
      </c>
      <c r="C31" s="94"/>
      <c r="D31" s="163">
        <f>D29+D30</f>
        <v>0.20429999999999998</v>
      </c>
      <c r="E31" s="33">
        <f>SUM(E29:E30)</f>
        <v>2722.0891139999999</v>
      </c>
      <c r="F31" s="29"/>
      <c r="H31" s="33">
        <v>1728.8604271111094</v>
      </c>
      <c r="I31" s="11"/>
      <c r="J31" s="11"/>
      <c r="K31" s="11"/>
      <c r="L31" s="11"/>
      <c r="M31" s="11"/>
      <c r="N31" s="11"/>
      <c r="O31" s="11"/>
    </row>
    <row r="32" spans="1:15" ht="14.25" customHeight="1" x14ac:dyDescent="0.3">
      <c r="B32" s="21" t="s">
        <v>250</v>
      </c>
      <c r="C32" s="22"/>
      <c r="D32" s="95">
        <f>D43*D31</f>
        <v>4.0451890319999996E-2</v>
      </c>
      <c r="E32" s="172">
        <f>D32*E25</f>
        <v>538.98017758587355</v>
      </c>
      <c r="F32" s="29"/>
      <c r="H32" s="57">
        <v>0</v>
      </c>
      <c r="I32" s="11"/>
      <c r="J32" s="11"/>
      <c r="K32" s="11"/>
      <c r="L32" s="11"/>
      <c r="M32" s="11"/>
      <c r="N32" s="11"/>
      <c r="O32" s="11"/>
    </row>
    <row r="33" spans="1:15" ht="14.25" customHeight="1" thickBot="1" x14ac:dyDescent="0.35">
      <c r="B33" s="93" t="s">
        <v>28</v>
      </c>
      <c r="C33" s="94"/>
      <c r="D33" s="97">
        <f>SUM(D31+D32)</f>
        <v>0.24475189031999997</v>
      </c>
      <c r="E33" s="33">
        <f>SUM(E31:E32)</f>
        <v>3261.0692915858735</v>
      </c>
      <c r="F33" s="29"/>
      <c r="H33" s="33">
        <v>1728.8604271111094</v>
      </c>
      <c r="I33" s="11"/>
      <c r="J33" s="11"/>
      <c r="K33" s="11"/>
      <c r="L33" s="11"/>
      <c r="M33" s="11"/>
      <c r="N33" s="11"/>
      <c r="O33" s="11"/>
    </row>
    <row r="34" spans="1:15" ht="14.25" customHeight="1" x14ac:dyDescent="0.3">
      <c r="B34" s="212" t="s">
        <v>29</v>
      </c>
      <c r="C34" s="213"/>
      <c r="D34" s="213"/>
      <c r="E34" s="214"/>
      <c r="H34" s="11"/>
      <c r="I34" s="11"/>
      <c r="J34" s="11"/>
      <c r="K34" s="11"/>
      <c r="L34" s="11"/>
      <c r="M34" s="11"/>
      <c r="N34" s="11"/>
      <c r="O34" s="11"/>
    </row>
    <row r="35" spans="1:15" ht="14.25" customHeight="1" x14ac:dyDescent="0.3">
      <c r="A35" s="2" t="s">
        <v>24</v>
      </c>
      <c r="B35" s="21" t="s">
        <v>30</v>
      </c>
      <c r="C35" s="22"/>
      <c r="D35" s="30">
        <v>0.05</v>
      </c>
      <c r="E35" s="57">
        <f>D35*E$25</f>
        <v>666.19900000000007</v>
      </c>
      <c r="F35" s="32"/>
      <c r="H35" s="57">
        <v>0</v>
      </c>
      <c r="I35" s="43"/>
      <c r="J35" s="11"/>
      <c r="K35" s="11"/>
      <c r="L35" s="11"/>
      <c r="M35" s="11"/>
      <c r="N35" s="11"/>
      <c r="O35" s="11"/>
    </row>
    <row r="36" spans="1:15" ht="14.25" customHeight="1" x14ac:dyDescent="0.3">
      <c r="A36" s="2" t="s">
        <v>26</v>
      </c>
      <c r="B36" s="21" t="s">
        <v>31</v>
      </c>
      <c r="C36" s="22"/>
      <c r="D36" s="30">
        <v>2.5002400000000001E-2</v>
      </c>
      <c r="E36" s="57">
        <f>ROUND(D36*E$25,2)</f>
        <v>333.13</v>
      </c>
      <c r="F36" s="32"/>
      <c r="H36" s="57">
        <v>376.35713749480277</v>
      </c>
      <c r="I36" s="11"/>
      <c r="J36" s="11"/>
      <c r="K36" s="11"/>
      <c r="L36" s="11"/>
      <c r="M36" s="11"/>
      <c r="N36" s="11"/>
      <c r="O36" s="11"/>
    </row>
    <row r="37" spans="1:15" ht="14.25" customHeight="1" x14ac:dyDescent="0.3">
      <c r="A37" s="2" t="s">
        <v>32</v>
      </c>
      <c r="B37" s="21" t="s">
        <v>33</v>
      </c>
      <c r="C37" s="22"/>
      <c r="D37" s="35">
        <v>0.01</v>
      </c>
      <c r="E37" s="57">
        <f t="shared" ref="E37:E42" si="0">D37*E$25</f>
        <v>133.2398</v>
      </c>
      <c r="F37" s="32"/>
      <c r="H37" s="57">
        <v>150.5284042711111</v>
      </c>
      <c r="I37" s="11"/>
      <c r="J37" s="11"/>
      <c r="K37" s="11"/>
      <c r="L37" s="11"/>
      <c r="M37" s="11"/>
      <c r="N37" s="11"/>
      <c r="O37" s="11"/>
    </row>
    <row r="38" spans="1:15" ht="14.25" customHeight="1" x14ac:dyDescent="0.3">
      <c r="A38" s="2" t="s">
        <v>34</v>
      </c>
      <c r="B38" s="21" t="s">
        <v>35</v>
      </c>
      <c r="C38" s="22"/>
      <c r="D38" s="30">
        <v>1.4999999999999999E-2</v>
      </c>
      <c r="E38" s="57">
        <f t="shared" si="0"/>
        <v>199.85969999999998</v>
      </c>
      <c r="F38" s="32"/>
      <c r="H38" s="57">
        <v>225.79260640666661</v>
      </c>
      <c r="I38" s="11"/>
      <c r="J38" s="11"/>
      <c r="K38" s="11"/>
      <c r="L38" s="11"/>
      <c r="M38" s="11"/>
      <c r="N38" s="11"/>
      <c r="O38" s="11"/>
    </row>
    <row r="39" spans="1:15" ht="14.25" customHeight="1" x14ac:dyDescent="0.3">
      <c r="A39" s="2" t="s">
        <v>36</v>
      </c>
      <c r="B39" s="21" t="s">
        <v>37</v>
      </c>
      <c r="C39" s="22"/>
      <c r="D39" s="30">
        <v>0.01</v>
      </c>
      <c r="E39" s="57">
        <f t="shared" si="0"/>
        <v>133.2398</v>
      </c>
      <c r="F39" s="32"/>
      <c r="H39" s="57">
        <v>150.5284042711111</v>
      </c>
      <c r="I39" s="11"/>
      <c r="J39" s="11"/>
      <c r="K39" s="11"/>
      <c r="L39" s="11"/>
      <c r="M39" s="11"/>
      <c r="N39" s="11"/>
      <c r="O39" s="11"/>
    </row>
    <row r="40" spans="1:15" ht="14.25" customHeight="1" x14ac:dyDescent="0.3">
      <c r="A40" s="2" t="s">
        <v>38</v>
      </c>
      <c r="B40" s="21" t="s">
        <v>39</v>
      </c>
      <c r="C40" s="22"/>
      <c r="D40" s="30">
        <v>6.0000000000000001E-3</v>
      </c>
      <c r="E40" s="57">
        <f t="shared" si="0"/>
        <v>79.943879999999993</v>
      </c>
      <c r="F40" s="32"/>
      <c r="H40" s="57">
        <v>90.317042562666657</v>
      </c>
      <c r="I40" s="11"/>
      <c r="J40" s="11"/>
      <c r="K40" s="11"/>
      <c r="L40" s="11"/>
      <c r="M40" s="11"/>
      <c r="N40" s="11"/>
      <c r="O40" s="11"/>
    </row>
    <row r="41" spans="1:15" ht="14.25" customHeight="1" x14ac:dyDescent="0.3">
      <c r="A41" s="2" t="s">
        <v>40</v>
      </c>
      <c r="B41" s="21" t="s">
        <v>41</v>
      </c>
      <c r="C41" s="22"/>
      <c r="D41" s="36">
        <v>2E-3</v>
      </c>
      <c r="E41" s="57">
        <f t="shared" si="0"/>
        <v>26.647960000000001</v>
      </c>
      <c r="F41" s="32"/>
      <c r="H41" s="57">
        <v>30.105680854222218</v>
      </c>
      <c r="I41" s="11"/>
      <c r="J41" s="11"/>
      <c r="K41" s="11"/>
      <c r="L41" s="11"/>
      <c r="M41" s="11"/>
      <c r="N41" s="11"/>
      <c r="O41" s="11"/>
    </row>
    <row r="42" spans="1:15" ht="14.25" customHeight="1" x14ac:dyDescent="0.3">
      <c r="A42" s="2" t="s">
        <v>42</v>
      </c>
      <c r="B42" s="21" t="s">
        <v>43</v>
      </c>
      <c r="C42" s="22"/>
      <c r="D42" s="30">
        <v>0.08</v>
      </c>
      <c r="E42" s="57">
        <f t="shared" si="0"/>
        <v>1065.9184</v>
      </c>
      <c r="F42" s="32"/>
      <c r="H42" s="57">
        <v>1204.2272341688888</v>
      </c>
      <c r="I42" s="11"/>
      <c r="J42" s="11"/>
      <c r="K42" s="11"/>
      <c r="L42" s="11"/>
      <c r="M42" s="11"/>
      <c r="N42" s="11"/>
      <c r="O42" s="11"/>
    </row>
    <row r="43" spans="1:15" ht="14.25" customHeight="1" thickBot="1" x14ac:dyDescent="0.35">
      <c r="B43" s="215" t="s">
        <v>44</v>
      </c>
      <c r="C43" s="216"/>
      <c r="D43" s="37">
        <f>SUM(D35:D42)</f>
        <v>0.1980024</v>
      </c>
      <c r="E43" s="33">
        <f>SUM(E35:E42)</f>
        <v>2638.1785399999999</v>
      </c>
      <c r="F43" s="29"/>
      <c r="H43" s="33">
        <v>2227.8565100294691</v>
      </c>
      <c r="I43" s="54"/>
      <c r="J43" s="11"/>
      <c r="K43" s="11"/>
      <c r="L43" s="11"/>
      <c r="M43" s="11"/>
      <c r="N43" s="11"/>
      <c r="O43" s="11"/>
    </row>
    <row r="44" spans="1:15" ht="14.25" customHeight="1" x14ac:dyDescent="0.3">
      <c r="B44" s="212" t="s">
        <v>45</v>
      </c>
      <c r="C44" s="213"/>
      <c r="D44" s="213"/>
      <c r="E44" s="214"/>
      <c r="H44" s="38"/>
      <c r="I44" s="11"/>
      <c r="J44" s="11"/>
      <c r="K44" s="11"/>
      <c r="L44" s="11"/>
      <c r="M44" s="11"/>
      <c r="N44" s="11"/>
      <c r="O44" s="11"/>
    </row>
    <row r="45" spans="1:15" ht="14.25" customHeight="1" x14ac:dyDescent="0.3">
      <c r="A45" s="2" t="s">
        <v>24</v>
      </c>
      <c r="B45" s="201" t="s">
        <v>46</v>
      </c>
      <c r="C45" s="202"/>
      <c r="D45" s="203"/>
      <c r="E45" s="57">
        <v>0</v>
      </c>
      <c r="F45" s="32"/>
      <c r="H45" s="57">
        <v>0</v>
      </c>
      <c r="I45" s="11"/>
      <c r="J45" s="11"/>
      <c r="K45" s="11"/>
      <c r="L45" s="11"/>
      <c r="M45" s="11"/>
      <c r="N45" s="11"/>
      <c r="O45" s="11"/>
    </row>
    <row r="46" spans="1:15" ht="14.25" customHeight="1" x14ac:dyDescent="0.3">
      <c r="A46" s="2" t="s">
        <v>26</v>
      </c>
      <c r="B46" s="201" t="s">
        <v>47</v>
      </c>
      <c r="C46" s="202"/>
      <c r="D46" s="203"/>
      <c r="E46" s="57">
        <v>589.77599999999995</v>
      </c>
      <c r="F46" s="32"/>
      <c r="H46" s="57">
        <v>589.77599999999995</v>
      </c>
      <c r="I46" s="11"/>
      <c r="J46" s="11"/>
      <c r="K46" s="70"/>
      <c r="L46" s="11"/>
      <c r="M46" s="11"/>
      <c r="N46" s="11"/>
      <c r="O46" s="11"/>
    </row>
    <row r="47" spans="1:15" ht="14.25" customHeight="1" x14ac:dyDescent="0.3">
      <c r="A47" s="2" t="s">
        <v>32</v>
      </c>
      <c r="B47" s="21" t="s">
        <v>48</v>
      </c>
      <c r="C47" s="22"/>
      <c r="D47" s="40"/>
      <c r="E47" s="57">
        <v>165</v>
      </c>
      <c r="F47" s="32"/>
      <c r="H47" s="57">
        <v>165</v>
      </c>
      <c r="I47" s="11"/>
      <c r="J47" s="11"/>
      <c r="K47" s="11"/>
      <c r="L47" s="11"/>
      <c r="M47" s="11"/>
      <c r="N47" s="11"/>
      <c r="O47" s="11"/>
    </row>
    <row r="48" spans="1:15" ht="14.25" customHeight="1" x14ac:dyDescent="0.3">
      <c r="A48" s="2" t="s">
        <v>34</v>
      </c>
      <c r="B48" s="201" t="s">
        <v>247</v>
      </c>
      <c r="C48" s="202"/>
      <c r="D48" s="203"/>
      <c r="E48" s="31"/>
      <c r="F48" s="32"/>
      <c r="H48" s="31"/>
      <c r="I48" s="11"/>
      <c r="J48" s="11"/>
      <c r="K48" s="11"/>
      <c r="L48" s="11"/>
      <c r="M48" s="11"/>
      <c r="N48" s="11"/>
      <c r="O48" s="11"/>
    </row>
    <row r="49" spans="1:16" ht="14.25" customHeight="1" thickBot="1" x14ac:dyDescent="0.35">
      <c r="B49" s="215" t="s">
        <v>49</v>
      </c>
      <c r="C49" s="217"/>
      <c r="D49" s="216">
        <v>0</v>
      </c>
      <c r="E49" s="33">
        <f>SUM(E45:E47)</f>
        <v>754.77599999999995</v>
      </c>
      <c r="F49" s="29"/>
      <c r="H49" s="33">
        <v>754.77599999999995</v>
      </c>
      <c r="I49" s="11"/>
      <c r="J49" s="11"/>
      <c r="K49" s="11"/>
      <c r="L49" s="11"/>
      <c r="M49" s="11"/>
      <c r="N49" s="11"/>
      <c r="O49" s="11"/>
    </row>
    <row r="50" spans="1:16" ht="14.25" customHeight="1" thickBot="1" x14ac:dyDescent="0.35">
      <c r="B50" s="191" t="s">
        <v>50</v>
      </c>
      <c r="C50" s="192"/>
      <c r="D50" s="193"/>
      <c r="E50" s="28">
        <f>E43+E33+E49</f>
        <v>6654.0238315858733</v>
      </c>
      <c r="F50" s="29"/>
      <c r="H50" s="28">
        <v>4711.4929371405788</v>
      </c>
      <c r="I50" s="11"/>
      <c r="J50" s="11"/>
      <c r="K50" s="11"/>
      <c r="L50" s="11"/>
      <c r="M50" s="11"/>
      <c r="N50" s="11"/>
      <c r="O50" s="11"/>
    </row>
    <row r="51" spans="1:16" ht="14.25" customHeight="1" thickBot="1" x14ac:dyDescent="0.35">
      <c r="H51" s="38"/>
      <c r="I51" s="11"/>
      <c r="J51" s="11"/>
      <c r="K51" s="11"/>
      <c r="L51" s="11"/>
      <c r="M51" s="11"/>
      <c r="N51" s="11"/>
      <c r="O51" s="11"/>
    </row>
    <row r="52" spans="1:16" ht="14.25" customHeight="1" thickBot="1" x14ac:dyDescent="0.35">
      <c r="B52" s="194" t="s">
        <v>51</v>
      </c>
      <c r="C52" s="195"/>
      <c r="D52" s="195"/>
      <c r="E52" s="196"/>
      <c r="F52" s="20"/>
      <c r="H52" s="38"/>
      <c r="I52" s="11"/>
      <c r="J52" s="11"/>
      <c r="K52" s="11"/>
      <c r="L52" s="11"/>
      <c r="M52" s="11"/>
      <c r="N52" s="11"/>
      <c r="O52" s="11"/>
    </row>
    <row r="53" spans="1:16" ht="14.25" customHeight="1" x14ac:dyDescent="0.3">
      <c r="A53" s="2" t="s">
        <v>24</v>
      </c>
      <c r="B53" s="21" t="s">
        <v>52</v>
      </c>
      <c r="C53" s="21"/>
      <c r="D53" s="30">
        <v>4.2119999999999996E-3</v>
      </c>
      <c r="E53" s="57">
        <f t="shared" ref="E53:E58" si="1">D53*E$25</f>
        <v>56.120603759999995</v>
      </c>
      <c r="F53" s="32"/>
      <c r="H53" s="57">
        <v>56.120603759999995</v>
      </c>
      <c r="I53" s="11"/>
      <c r="J53" s="11"/>
      <c r="K53" s="11"/>
      <c r="L53" s="11"/>
      <c r="M53" s="11"/>
      <c r="N53" s="11"/>
      <c r="O53" s="11"/>
    </row>
    <row r="54" spans="1:16" ht="14.25" customHeight="1" x14ac:dyDescent="0.3">
      <c r="A54" s="2" t="s">
        <v>26</v>
      </c>
      <c r="B54" s="21" t="s">
        <v>54</v>
      </c>
      <c r="C54" s="21"/>
      <c r="D54" s="30">
        <v>3.3695999999999997E-4</v>
      </c>
      <c r="E54" s="57">
        <f t="shared" si="1"/>
        <v>4.4896483007999999</v>
      </c>
      <c r="F54" s="32"/>
      <c r="H54" s="57">
        <v>4.4896483007999999</v>
      </c>
      <c r="I54" s="11"/>
      <c r="J54" s="11">
        <v>8.33</v>
      </c>
      <c r="K54" s="11">
        <f>J54/12</f>
        <v>0.69416666666666671</v>
      </c>
      <c r="L54" s="11"/>
      <c r="M54" s="11"/>
      <c r="N54" s="11"/>
      <c r="O54" s="11"/>
    </row>
    <row r="55" spans="1:16" ht="14.25" customHeight="1" x14ac:dyDescent="0.3">
      <c r="A55" s="2" t="s">
        <v>32</v>
      </c>
      <c r="B55" s="21" t="s">
        <v>55</v>
      </c>
      <c r="C55" s="21"/>
      <c r="D55" s="30">
        <v>0.02</v>
      </c>
      <c r="E55" s="57">
        <f t="shared" si="1"/>
        <v>266.4796</v>
      </c>
      <c r="F55" s="32"/>
      <c r="H55" s="57">
        <v>266.4796</v>
      </c>
      <c r="I55" s="11"/>
      <c r="J55" s="11">
        <v>2.78</v>
      </c>
      <c r="K55" s="11">
        <f>J55/12</f>
        <v>0.23166666666666666</v>
      </c>
      <c r="L55" s="105"/>
      <c r="M55" s="11"/>
      <c r="N55" s="11"/>
      <c r="O55" s="11"/>
      <c r="P55" s="104"/>
    </row>
    <row r="56" spans="1:16" ht="14.25" customHeight="1" x14ac:dyDescent="0.3">
      <c r="A56" s="2" t="s">
        <v>34</v>
      </c>
      <c r="B56" s="21" t="s">
        <v>57</v>
      </c>
      <c r="C56" s="21"/>
      <c r="D56" s="30">
        <v>1.9444444444444445E-2</v>
      </c>
      <c r="E56" s="57">
        <f t="shared" si="1"/>
        <v>259.07738888888889</v>
      </c>
      <c r="F56" s="32"/>
      <c r="H56" s="57">
        <v>259.07738888888889</v>
      </c>
      <c r="I56" s="11"/>
      <c r="J56" s="11"/>
      <c r="K56" s="11">
        <f>ROUND(SUM(K54:K55),2)</f>
        <v>0.93</v>
      </c>
      <c r="L56" s="11"/>
      <c r="M56" s="11"/>
      <c r="N56" s="11"/>
      <c r="O56" s="11"/>
    </row>
    <row r="57" spans="1:16" ht="14.25" customHeight="1" x14ac:dyDescent="0.3">
      <c r="A57" s="2" t="s">
        <v>36</v>
      </c>
      <c r="B57" s="21" t="s">
        <v>58</v>
      </c>
      <c r="C57" s="22"/>
      <c r="D57" s="30">
        <v>2.8778244444444445E-3</v>
      </c>
      <c r="E57" s="57">
        <f t="shared" si="1"/>
        <v>38.344075341288892</v>
      </c>
      <c r="F57" s="32"/>
      <c r="H57" s="57">
        <v>38.344075341288892</v>
      </c>
      <c r="I57" s="11"/>
      <c r="J57" s="11"/>
      <c r="K57" s="11"/>
      <c r="L57" s="11"/>
      <c r="M57" s="11"/>
      <c r="N57" s="11"/>
      <c r="O57" s="11"/>
    </row>
    <row r="58" spans="1:16" ht="14.25" customHeight="1" x14ac:dyDescent="0.3">
      <c r="A58" s="2" t="s">
        <v>38</v>
      </c>
      <c r="B58" s="21" t="s">
        <v>59</v>
      </c>
      <c r="C58" s="21"/>
      <c r="D58" s="30">
        <v>0.02</v>
      </c>
      <c r="E58" s="57">
        <f t="shared" si="1"/>
        <v>266.4796</v>
      </c>
      <c r="F58" s="32"/>
      <c r="H58" s="57">
        <v>266.4796</v>
      </c>
      <c r="I58" s="11"/>
      <c r="J58" s="11"/>
      <c r="K58" s="11"/>
      <c r="L58" s="11"/>
      <c r="M58" s="11"/>
      <c r="N58" s="11"/>
      <c r="O58" s="11"/>
    </row>
    <row r="59" spans="1:16" ht="14.25" customHeight="1" thickBot="1" x14ac:dyDescent="0.35">
      <c r="B59" s="191" t="s">
        <v>60</v>
      </c>
      <c r="C59" s="192"/>
      <c r="D59" s="193"/>
      <c r="E59" s="28">
        <f>SUM(E53:E58)</f>
        <v>890.99091629097779</v>
      </c>
      <c r="F59" s="29"/>
      <c r="H59" s="28">
        <v>890.99091629097779</v>
      </c>
      <c r="I59" s="11"/>
      <c r="J59" s="11"/>
      <c r="K59" s="11"/>
      <c r="L59" s="11"/>
      <c r="M59" s="11"/>
      <c r="N59" s="11"/>
      <c r="O59" s="11"/>
    </row>
    <row r="60" spans="1:16" ht="14.25" customHeight="1" thickBot="1" x14ac:dyDescent="0.35">
      <c r="H60" s="38"/>
      <c r="I60" s="11"/>
      <c r="J60" s="11"/>
      <c r="K60" s="11"/>
      <c r="L60" s="11"/>
      <c r="M60" s="11"/>
      <c r="N60" s="11"/>
      <c r="O60" s="11"/>
    </row>
    <row r="61" spans="1:16" ht="14.25" customHeight="1" x14ac:dyDescent="0.3">
      <c r="B61" s="204" t="s">
        <v>75</v>
      </c>
      <c r="C61" s="205"/>
      <c r="D61" s="205"/>
      <c r="E61" s="206"/>
      <c r="F61" s="20"/>
      <c r="H61" s="38"/>
      <c r="I61" s="11"/>
      <c r="J61" s="11"/>
      <c r="K61" s="11"/>
      <c r="L61" s="11"/>
      <c r="M61" s="11"/>
      <c r="N61" s="11"/>
      <c r="O61" s="11"/>
    </row>
    <row r="62" spans="1:16" ht="14.25" customHeight="1" x14ac:dyDescent="0.3">
      <c r="B62" s="207"/>
      <c r="C62" s="208"/>
      <c r="D62" s="208"/>
      <c r="E62" s="209"/>
      <c r="H62" s="11"/>
      <c r="I62" s="11"/>
      <c r="J62" s="11"/>
      <c r="K62" s="11"/>
      <c r="L62" s="11"/>
      <c r="M62" s="11"/>
      <c r="N62" s="11"/>
      <c r="O62" s="11"/>
    </row>
    <row r="63" spans="1:16" ht="14.25" customHeight="1" x14ac:dyDescent="0.3">
      <c r="A63" s="2" t="s">
        <v>24</v>
      </c>
      <c r="B63" s="201" t="s">
        <v>76</v>
      </c>
      <c r="C63" s="203"/>
      <c r="D63" s="30">
        <v>9.2999999999999992E-3</v>
      </c>
      <c r="E63" s="57">
        <f t="shared" ref="E63:E68" si="2">D63*E$25</f>
        <v>123.91301399999999</v>
      </c>
      <c r="F63" s="32"/>
      <c r="H63" s="57">
        <v>1109.887534</v>
      </c>
      <c r="I63" s="11"/>
      <c r="J63" s="11"/>
      <c r="K63" s="11"/>
      <c r="L63" s="11"/>
      <c r="M63" s="11"/>
      <c r="N63" s="11"/>
      <c r="O63" s="11"/>
    </row>
    <row r="64" spans="1:16" ht="14.25" customHeight="1" x14ac:dyDescent="0.3">
      <c r="A64" s="2" t="s">
        <v>26</v>
      </c>
      <c r="B64" s="101" t="s">
        <v>77</v>
      </c>
      <c r="C64" s="98"/>
      <c r="D64" s="30">
        <v>1.66E-2</v>
      </c>
      <c r="E64" s="57">
        <f t="shared" si="2"/>
        <v>221.178068</v>
      </c>
      <c r="F64" s="32"/>
      <c r="H64" s="57">
        <v>221.178068</v>
      </c>
      <c r="I64" s="11"/>
      <c r="J64" s="11"/>
      <c r="K64" s="11"/>
      <c r="L64" s="78"/>
      <c r="M64" s="11"/>
      <c r="N64" s="11"/>
      <c r="O64" s="11"/>
    </row>
    <row r="65" spans="1:15" ht="14.25" customHeight="1" x14ac:dyDescent="0.3">
      <c r="A65" s="2" t="s">
        <v>32</v>
      </c>
      <c r="B65" s="101" t="s">
        <v>79</v>
      </c>
      <c r="C65" s="98"/>
      <c r="D65" s="30">
        <v>2.0000000000000001E-4</v>
      </c>
      <c r="E65" s="57">
        <f t="shared" si="2"/>
        <v>2.6647959999999999</v>
      </c>
      <c r="F65" s="32"/>
      <c r="H65" s="57">
        <v>2.6647959999999999</v>
      </c>
      <c r="I65" s="11"/>
      <c r="J65" s="11"/>
      <c r="K65" s="11"/>
      <c r="L65" s="11"/>
      <c r="M65" s="11"/>
      <c r="N65" s="11"/>
      <c r="O65" s="11"/>
    </row>
    <row r="66" spans="1:15" ht="14.25" customHeight="1" x14ac:dyDescent="0.3">
      <c r="A66" s="2" t="s">
        <v>34</v>
      </c>
      <c r="B66" s="101" t="s">
        <v>81</v>
      </c>
      <c r="C66" s="98"/>
      <c r="D66" s="30">
        <v>2.7000000000000001E-3</v>
      </c>
      <c r="E66" s="57">
        <f t="shared" si="2"/>
        <v>35.974746000000003</v>
      </c>
      <c r="F66" s="32"/>
      <c r="H66" s="57">
        <v>35.974746000000003</v>
      </c>
      <c r="I66" s="11"/>
      <c r="J66" s="11"/>
      <c r="K66" s="11"/>
      <c r="L66" s="11"/>
      <c r="M66" s="78"/>
      <c r="N66" s="11"/>
      <c r="O66" s="11"/>
    </row>
    <row r="67" spans="1:15" ht="14.25" customHeight="1" x14ac:dyDescent="0.3">
      <c r="A67" s="2" t="s">
        <v>36</v>
      </c>
      <c r="B67" s="101" t="s">
        <v>83</v>
      </c>
      <c r="C67" s="98"/>
      <c r="D67" s="30">
        <v>2.8E-3</v>
      </c>
      <c r="E67" s="57">
        <f t="shared" si="2"/>
        <v>37.307144000000001</v>
      </c>
      <c r="F67" s="32"/>
      <c r="H67" s="57">
        <v>37.307144000000001</v>
      </c>
      <c r="I67" s="11"/>
      <c r="J67" s="105"/>
      <c r="K67" s="11"/>
      <c r="L67" s="11"/>
      <c r="M67" s="11"/>
      <c r="N67" s="11"/>
      <c r="O67" s="11"/>
    </row>
    <row r="68" spans="1:15" ht="14.25" customHeight="1" x14ac:dyDescent="0.3">
      <c r="A68" s="2" t="s">
        <v>38</v>
      </c>
      <c r="B68" s="101" t="s">
        <v>20</v>
      </c>
      <c r="C68" s="98"/>
      <c r="D68" s="30">
        <v>0</v>
      </c>
      <c r="E68" s="57">
        <f t="shared" si="2"/>
        <v>0</v>
      </c>
      <c r="F68" s="32"/>
      <c r="H68" s="57" t="s">
        <v>85</v>
      </c>
      <c r="I68" s="11"/>
      <c r="J68" s="11"/>
      <c r="K68" s="11"/>
      <c r="L68" s="11"/>
      <c r="M68" s="11"/>
      <c r="N68" s="11"/>
      <c r="O68" s="11"/>
    </row>
    <row r="69" spans="1:15" ht="14.25" customHeight="1" x14ac:dyDescent="0.3">
      <c r="B69" s="102" t="s">
        <v>164</v>
      </c>
      <c r="C69" s="96"/>
      <c r="D69" s="100">
        <v>0.1056</v>
      </c>
      <c r="E69" s="99">
        <f>SUM(E63:E68)</f>
        <v>421.03776799999997</v>
      </c>
      <c r="F69" s="32"/>
      <c r="H69" s="99">
        <v>1407.0122880000001</v>
      </c>
      <c r="I69" s="11"/>
      <c r="J69" s="11"/>
      <c r="K69" s="11"/>
      <c r="L69" s="11"/>
      <c r="M69" s="11"/>
      <c r="N69" s="11"/>
      <c r="O69" s="11"/>
    </row>
    <row r="70" spans="1:15" ht="14.25" customHeight="1" x14ac:dyDescent="0.3">
      <c r="B70" s="201" t="s">
        <v>165</v>
      </c>
      <c r="C70" s="202"/>
      <c r="D70" s="203"/>
      <c r="E70" s="57">
        <f>D43*E69</f>
        <v>83.366488554643198</v>
      </c>
      <c r="F70" s="32"/>
      <c r="H70" s="57">
        <v>208.24119545349123</v>
      </c>
      <c r="I70" s="11"/>
      <c r="J70" s="43"/>
      <c r="K70" s="11"/>
      <c r="L70" s="11"/>
      <c r="M70" s="11"/>
      <c r="N70" s="11"/>
      <c r="O70" s="11"/>
    </row>
    <row r="71" spans="1:15" ht="14.25" customHeight="1" thickBot="1" x14ac:dyDescent="0.35">
      <c r="B71" s="210" t="s">
        <v>86</v>
      </c>
      <c r="C71" s="211"/>
      <c r="D71" s="211"/>
      <c r="E71" s="103">
        <f>SUM(E69:E70)</f>
        <v>504.40425655464315</v>
      </c>
      <c r="F71" s="29"/>
      <c r="H71" s="103">
        <v>1615.2534834534913</v>
      </c>
      <c r="I71" s="11"/>
      <c r="J71" s="11"/>
      <c r="K71" s="11"/>
      <c r="L71" s="11"/>
      <c r="M71" s="11"/>
      <c r="N71" s="11"/>
      <c r="O71" s="11"/>
    </row>
    <row r="72" spans="1:15" ht="12.75" customHeight="1" thickBot="1" x14ac:dyDescent="0.35">
      <c r="H72" s="43"/>
      <c r="I72" s="11"/>
      <c r="J72" s="11"/>
      <c r="K72" s="11"/>
      <c r="L72" s="11"/>
      <c r="M72" s="11"/>
      <c r="N72" s="11"/>
      <c r="O72" s="11"/>
    </row>
    <row r="73" spans="1:15" ht="14.25" customHeight="1" thickBot="1" x14ac:dyDescent="0.35">
      <c r="B73" s="194" t="s">
        <v>61</v>
      </c>
      <c r="C73" s="195"/>
      <c r="D73" s="195"/>
      <c r="E73" s="196"/>
      <c r="F73" s="20"/>
      <c r="H73" s="34"/>
      <c r="I73" s="11"/>
      <c r="J73" s="11"/>
      <c r="K73" s="11"/>
      <c r="L73" s="11"/>
      <c r="M73" s="11"/>
      <c r="N73" s="11"/>
      <c r="O73" s="11"/>
    </row>
    <row r="74" spans="1:15" ht="14.25" customHeight="1" x14ac:dyDescent="0.3">
      <c r="A74" s="2" t="s">
        <v>24</v>
      </c>
      <c r="B74" s="201" t="s">
        <v>104</v>
      </c>
      <c r="C74" s="202"/>
      <c r="D74" s="203"/>
      <c r="E74" s="57">
        <v>50</v>
      </c>
      <c r="F74" s="24"/>
      <c r="H74" s="11"/>
      <c r="I74" s="11"/>
      <c r="J74" s="11"/>
      <c r="K74" s="11"/>
      <c r="L74" s="11"/>
      <c r="M74" s="11"/>
      <c r="N74" s="11"/>
      <c r="O74" s="11"/>
    </row>
    <row r="75" spans="1:15" ht="14.25" customHeight="1" x14ac:dyDescent="0.3">
      <c r="A75" s="2" t="s">
        <v>26</v>
      </c>
      <c r="B75" s="25" t="s">
        <v>96</v>
      </c>
      <c r="C75" s="26"/>
      <c r="D75" s="44"/>
      <c r="E75" s="57">
        <v>0</v>
      </c>
      <c r="F75" s="24"/>
      <c r="H75" s="11"/>
      <c r="I75" s="11"/>
      <c r="J75" s="11"/>
      <c r="K75" s="11"/>
      <c r="L75" s="11"/>
      <c r="M75" s="11"/>
      <c r="N75" s="11"/>
      <c r="O75" s="11"/>
    </row>
    <row r="76" spans="1:15" ht="14.25" customHeight="1" x14ac:dyDescent="0.3">
      <c r="A76" s="2" t="s">
        <v>32</v>
      </c>
      <c r="B76" s="25" t="s">
        <v>62</v>
      </c>
      <c r="C76" s="26"/>
      <c r="D76" s="44"/>
      <c r="E76" s="57">
        <v>90</v>
      </c>
      <c r="F76" s="24"/>
      <c r="H76" s="11"/>
      <c r="I76" s="11"/>
      <c r="J76" s="11"/>
      <c r="K76" s="11"/>
      <c r="L76" s="11"/>
      <c r="M76" s="11"/>
      <c r="N76" s="11"/>
      <c r="O76" s="11"/>
    </row>
    <row r="77" spans="1:15" ht="14.25" customHeight="1" x14ac:dyDescent="0.3">
      <c r="B77" s="25" t="s">
        <v>101</v>
      </c>
      <c r="C77" s="26"/>
      <c r="D77" s="44"/>
      <c r="E77" s="57">
        <v>0</v>
      </c>
      <c r="F77" s="24"/>
      <c r="H77" s="11"/>
      <c r="I77" s="11"/>
      <c r="J77" s="11"/>
      <c r="K77" s="11"/>
      <c r="L77" s="11"/>
      <c r="M77" s="11"/>
      <c r="N77" s="11"/>
      <c r="O77" s="11"/>
    </row>
    <row r="78" spans="1:15" ht="14.25" customHeight="1" x14ac:dyDescent="0.3">
      <c r="B78" s="25" t="s">
        <v>97</v>
      </c>
      <c r="C78" s="26"/>
      <c r="D78" s="44"/>
      <c r="E78" s="57">
        <v>0</v>
      </c>
      <c r="F78" s="24"/>
      <c r="H78" s="11"/>
      <c r="I78" s="11"/>
      <c r="J78" s="11"/>
      <c r="K78" s="11"/>
      <c r="L78" s="11"/>
      <c r="M78" s="11"/>
      <c r="N78" s="11"/>
      <c r="O78" s="11"/>
    </row>
    <row r="79" spans="1:15" ht="14.25" customHeight="1" x14ac:dyDescent="0.3">
      <c r="A79" s="2" t="s">
        <v>34</v>
      </c>
      <c r="B79" s="25" t="s">
        <v>248</v>
      </c>
      <c r="C79" s="26"/>
      <c r="D79" s="44"/>
      <c r="E79" s="57">
        <v>0</v>
      </c>
      <c r="F79" s="24"/>
      <c r="H79" s="11"/>
      <c r="I79" s="11"/>
      <c r="K79" s="11"/>
      <c r="L79" s="11"/>
      <c r="M79" s="11"/>
      <c r="N79" s="11"/>
      <c r="O79" s="11"/>
    </row>
    <row r="80" spans="1:15" ht="14.25" customHeight="1" thickBot="1" x14ac:dyDescent="0.35">
      <c r="B80" s="191" t="s">
        <v>63</v>
      </c>
      <c r="C80" s="192"/>
      <c r="D80" s="193"/>
      <c r="E80" s="28">
        <f>SUM(E74:E79)</f>
        <v>140</v>
      </c>
      <c r="F80" s="29"/>
      <c r="H80" s="11"/>
      <c r="I80" s="11"/>
      <c r="K80" s="11"/>
      <c r="L80" s="11"/>
      <c r="M80" s="11"/>
      <c r="N80" s="11"/>
      <c r="O80" s="11"/>
    </row>
    <row r="81" spans="1:15" ht="14.25" customHeight="1" thickBot="1" x14ac:dyDescent="0.35">
      <c r="H81" s="11"/>
      <c r="I81" s="11"/>
      <c r="K81" s="11"/>
      <c r="L81" s="11"/>
      <c r="M81" s="11"/>
      <c r="N81" s="11"/>
      <c r="O81" s="11"/>
    </row>
    <row r="82" spans="1:15" ht="14.25" customHeight="1" thickBot="1" x14ac:dyDescent="0.35">
      <c r="B82" s="194" t="s">
        <v>64</v>
      </c>
      <c r="C82" s="195"/>
      <c r="D82" s="195"/>
      <c r="E82" s="196"/>
      <c r="F82" s="20"/>
      <c r="H82" s="11"/>
      <c r="I82" s="11"/>
      <c r="K82" s="11"/>
      <c r="L82" s="11"/>
      <c r="M82" s="11"/>
      <c r="N82" s="11"/>
      <c r="O82" s="11"/>
    </row>
    <row r="83" spans="1:15" ht="14.25" customHeight="1" x14ac:dyDescent="0.3">
      <c r="A83" s="2" t="s">
        <v>24</v>
      </c>
      <c r="B83" s="45" t="s">
        <v>65</v>
      </c>
      <c r="C83" s="46"/>
      <c r="D83" s="35">
        <v>0</v>
      </c>
      <c r="E83" s="57">
        <f>D83*(E80+E71+E59+E50+E25)</f>
        <v>0</v>
      </c>
      <c r="F83" s="32"/>
      <c r="H83" s="57">
        <v>205.41717336885</v>
      </c>
      <c r="I83" s="11"/>
      <c r="J83" s="54"/>
      <c r="K83" s="11"/>
      <c r="L83" s="11"/>
      <c r="M83" s="11"/>
      <c r="N83" s="34"/>
      <c r="O83" s="11"/>
    </row>
    <row r="84" spans="1:15" ht="14.25" customHeight="1" x14ac:dyDescent="0.3">
      <c r="A84" s="2" t="s">
        <v>26</v>
      </c>
      <c r="B84" s="21" t="s">
        <v>66</v>
      </c>
      <c r="C84" s="22"/>
      <c r="D84" s="35">
        <v>-1.3677647119945452E-2</v>
      </c>
      <c r="E84" s="57">
        <f>D84*(E83+E80+E71+E59+E50+E25)</f>
        <v>-294.25267993319977</v>
      </c>
      <c r="F84" s="32"/>
      <c r="H84" s="57">
        <v>758.62471974610196</v>
      </c>
      <c r="I84" s="11"/>
      <c r="J84" s="162"/>
      <c r="K84" s="11"/>
      <c r="L84" s="11"/>
      <c r="M84" s="11"/>
      <c r="N84" s="11"/>
      <c r="O84" s="11"/>
    </row>
    <row r="85" spans="1:15" ht="14.25" customHeight="1" x14ac:dyDescent="0.3">
      <c r="B85" s="21" t="s">
        <v>67</v>
      </c>
      <c r="C85" s="22"/>
      <c r="D85" s="30">
        <v>6.5000000000000006E-3</v>
      </c>
      <c r="E85" s="57">
        <f>D85*(E84+E83+E80+E71+E59+E50+E25)</f>
        <v>137.92445110923893</v>
      </c>
      <c r="F85" s="32"/>
      <c r="H85" s="57">
        <v>155.57867000000002</v>
      </c>
      <c r="I85" s="11"/>
      <c r="K85" s="11"/>
      <c r="L85" s="11"/>
      <c r="M85" s="11"/>
      <c r="N85" s="34"/>
      <c r="O85" s="11"/>
    </row>
    <row r="86" spans="1:15" ht="14.25" customHeight="1" x14ac:dyDescent="0.3">
      <c r="B86" s="47" t="s">
        <v>68</v>
      </c>
      <c r="C86" s="48"/>
      <c r="D86" s="30">
        <v>0.03</v>
      </c>
      <c r="E86" s="57">
        <f>D86*(E83+E85+E84+E80+E71+E59+E50+E25)</f>
        <v>640.71212326822604</v>
      </c>
      <c r="F86" s="32"/>
      <c r="H86" s="57">
        <v>718.05539999999996</v>
      </c>
      <c r="I86" s="11"/>
      <c r="K86" s="11"/>
      <c r="L86" s="11"/>
      <c r="M86" s="11"/>
      <c r="N86" s="34"/>
      <c r="O86" s="11"/>
    </row>
    <row r="87" spans="1:15" ht="14.25" customHeight="1" x14ac:dyDescent="0.3">
      <c r="B87" s="21" t="s">
        <v>69</v>
      </c>
      <c r="C87" s="22"/>
      <c r="D87" s="35">
        <v>0.05</v>
      </c>
      <c r="E87" s="57">
        <f>D87*(E84+E83+E86+E85+E80+E71+E59+E50+E25)</f>
        <v>1099.8891449437881</v>
      </c>
      <c r="F87" s="32"/>
      <c r="H87" s="57">
        <v>478.70359999999999</v>
      </c>
      <c r="I87" s="11"/>
      <c r="K87" s="11"/>
      <c r="L87" s="11"/>
      <c r="M87" s="11"/>
      <c r="N87" s="34"/>
      <c r="O87" s="11"/>
    </row>
    <row r="88" spans="1:15" ht="14.25" customHeight="1" x14ac:dyDescent="0.3">
      <c r="B88" s="25" t="s">
        <v>87</v>
      </c>
      <c r="C88" s="26"/>
      <c r="D88" s="35">
        <v>3.5999999999999997E-2</v>
      </c>
      <c r="E88" s="57">
        <f>D88*(E84+E85+E87+E86+E83+E71+E59+E50+E25)</f>
        <v>826.47619357750364</v>
      </c>
      <c r="F88" s="32"/>
      <c r="H88" s="57">
        <v>1077.0831000000001</v>
      </c>
      <c r="I88" s="11"/>
      <c r="K88" s="11"/>
      <c r="L88" s="11"/>
      <c r="M88" s="11"/>
      <c r="N88" s="34"/>
      <c r="O88" s="11"/>
    </row>
    <row r="89" spans="1:15" ht="14.25" customHeight="1" thickBot="1" x14ac:dyDescent="0.35">
      <c r="B89" s="191" t="s">
        <v>70</v>
      </c>
      <c r="C89" s="192"/>
      <c r="D89" s="193"/>
      <c r="E89" s="49">
        <f>SUM(E83:E88)</f>
        <v>2410.749232965557</v>
      </c>
      <c r="F89" s="29"/>
      <c r="H89" s="49">
        <v>3393.4626631149522</v>
      </c>
      <c r="I89" s="11"/>
      <c r="K89" s="11"/>
      <c r="L89" s="11"/>
      <c r="M89" s="11"/>
      <c r="N89" s="34"/>
      <c r="O89" s="11"/>
    </row>
    <row r="90" spans="1:15" ht="14.25" customHeight="1" thickBot="1" x14ac:dyDescent="0.35">
      <c r="H90" s="11"/>
      <c r="K90" s="11"/>
      <c r="L90" s="11"/>
      <c r="M90" s="11"/>
      <c r="N90" s="11"/>
      <c r="O90" s="11"/>
    </row>
    <row r="91" spans="1:15" ht="14.25" customHeight="1" thickBot="1" x14ac:dyDescent="0.35">
      <c r="B91" s="197" t="s">
        <v>71</v>
      </c>
      <c r="C91" s="198"/>
      <c r="D91" s="198"/>
      <c r="E91" s="50">
        <f>SUM(E89+E80+E71+E59+E50+E25)</f>
        <v>23924.14823739705</v>
      </c>
      <c r="F91" s="29"/>
      <c r="H91" s="50">
        <v>23935.18</v>
      </c>
      <c r="I91" s="11"/>
      <c r="K91" s="11"/>
      <c r="L91" s="11"/>
      <c r="M91" s="11"/>
      <c r="N91" s="11"/>
      <c r="O91" s="11"/>
    </row>
    <row r="92" spans="1:15" ht="14.25" customHeight="1" thickBot="1" x14ac:dyDescent="0.35">
      <c r="H92" s="11"/>
    </row>
    <row r="93" spans="1:15" ht="14.25" customHeight="1" thickBot="1" x14ac:dyDescent="0.35">
      <c r="B93" s="199" t="s">
        <v>72</v>
      </c>
      <c r="C93" s="200"/>
      <c r="D93" s="200"/>
      <c r="E93" s="51">
        <f>E91*E13</f>
        <v>47848.296474794101</v>
      </c>
      <c r="F93" s="29"/>
      <c r="H93" s="51">
        <v>47870.36</v>
      </c>
    </row>
    <row r="94" spans="1:15" ht="14.25" customHeight="1" x14ac:dyDescent="0.3">
      <c r="B94" s="10"/>
      <c r="C94" s="10"/>
      <c r="D94" s="52"/>
      <c r="E94" s="9"/>
      <c r="F94" s="53"/>
      <c r="G94" s="53"/>
      <c r="H94" s="53"/>
    </row>
    <row r="95" spans="1:15" ht="14.25" customHeight="1" x14ac:dyDescent="0.3">
      <c r="L95" s="54"/>
    </row>
  </sheetData>
  <mergeCells count="41">
    <mergeCell ref="B8:D8"/>
    <mergeCell ref="B2:E2"/>
    <mergeCell ref="B4:E4"/>
    <mergeCell ref="B5:D5"/>
    <mergeCell ref="B6:D6"/>
    <mergeCell ref="B7:D7"/>
    <mergeCell ref="B28:E28"/>
    <mergeCell ref="B10:E10"/>
    <mergeCell ref="B11:C11"/>
    <mergeCell ref="B13:C13"/>
    <mergeCell ref="B15:E15"/>
    <mergeCell ref="C16:D16"/>
    <mergeCell ref="C17:D17"/>
    <mergeCell ref="C18:D18"/>
    <mergeCell ref="C19:D19"/>
    <mergeCell ref="B21:E21"/>
    <mergeCell ref="B25:D25"/>
    <mergeCell ref="B27:E27"/>
    <mergeCell ref="B12:D12"/>
    <mergeCell ref="B52:E52"/>
    <mergeCell ref="B34:E34"/>
    <mergeCell ref="B43:C43"/>
    <mergeCell ref="B44:E44"/>
    <mergeCell ref="B45:D45"/>
    <mergeCell ref="B46:D46"/>
    <mergeCell ref="B48:D48"/>
    <mergeCell ref="B49:D49"/>
    <mergeCell ref="B50:D50"/>
    <mergeCell ref="B74:D74"/>
    <mergeCell ref="B59:D59"/>
    <mergeCell ref="B61:E61"/>
    <mergeCell ref="B62:E62"/>
    <mergeCell ref="B71:D71"/>
    <mergeCell ref="B73:E73"/>
    <mergeCell ref="B63:C63"/>
    <mergeCell ref="B70:D70"/>
    <mergeCell ref="B80:D80"/>
    <mergeCell ref="B82:E82"/>
    <mergeCell ref="B89:D89"/>
    <mergeCell ref="B91:D91"/>
    <mergeCell ref="B93:D93"/>
  </mergeCells>
  <dataValidations count="5">
    <dataValidation type="list" allowBlank="1" showInputMessage="1" showErrorMessage="1" sqref="H13" xr:uid="{00000000-0002-0000-0200-000000000000}">
      <formula1>$I$2:$I$3</formula1>
    </dataValidation>
    <dataValidation type="decimal" operator="lessThanOrEqual" allowBlank="1" showInputMessage="1" showErrorMessage="1" errorTitle="Valor inválido" error="Máximo aceito = 6%" sqref="D41 D37" xr:uid="{90C3CC95-8806-446C-BC17-E97C3E4E14E9}">
      <formula1>0.06</formula1>
    </dataValidation>
    <dataValidation type="decimal" allowBlank="1" showInputMessage="1" showErrorMessage="1" errorTitle="Valor inválido" error="Mínimo aceito = 2%_x000a_Máximo aceito = 5%" sqref="D87" xr:uid="{22628C46-488D-4EB5-9590-615112D20510}">
      <formula1>0.02</formula1>
      <formula2>0.05</formula2>
    </dataValidation>
    <dataValidation operator="lessThanOrEqual" showInputMessage="1" errorTitle="Valor inválido" error="Máximo aceito = 5%" sqref="D83" xr:uid="{737FD3C6-F19D-4AC4-892D-6D116145C413}"/>
    <dataValidation allowBlank="1" showInputMessage="1" showErrorMessage="1" errorTitle="Valor inválido" error="Mínimo aceito = 2%_x000a_Máximo aceito = 5%" sqref="D88" xr:uid="{2A7DC7B8-127C-4D20-A6CF-AEF37AA5C655}"/>
  </dataValidations>
  <pageMargins left="0.511811024" right="0.511811024" top="0.78740157499999996" bottom="0.78740157499999996" header="0.31496062000000002" footer="0.31496062000000002"/>
  <pageSetup paperSize="9" scale="56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1A000-F412-49E1-BFE6-BA29E6DB2BB5}">
  <sheetPr codeName="Planilha4">
    <pageSetUpPr fitToPage="1"/>
  </sheetPr>
  <dimension ref="A1:Q95"/>
  <sheetViews>
    <sheetView topLeftCell="A21" zoomScaleNormal="100" workbookViewId="0">
      <selection activeCell="J39" sqref="J39"/>
    </sheetView>
  </sheetViews>
  <sheetFormatPr defaultColWidth="9.109375" defaultRowHeight="11.4" x14ac:dyDescent="0.3"/>
  <cols>
    <col min="1" max="1" width="1.6640625" style="2" customWidth="1"/>
    <col min="2" max="2" width="13.6640625" style="1" customWidth="1"/>
    <col min="3" max="3" width="59.44140625" style="1" customWidth="1"/>
    <col min="4" max="4" width="12.109375" style="1" customWidth="1"/>
    <col min="5" max="5" width="15.44140625" style="1" bestFit="1" customWidth="1"/>
    <col min="6" max="6" width="1.6640625" style="1" customWidth="1"/>
    <col min="7" max="7" width="1.6640625" style="2" customWidth="1"/>
    <col min="8" max="8" width="18.33203125" style="2" customWidth="1"/>
    <col min="9" max="9" width="11.6640625" style="2" bestFit="1" customWidth="1"/>
    <col min="10" max="10" width="9.109375" style="2" customWidth="1"/>
    <col min="11" max="11" width="27.109375" style="2" customWidth="1"/>
    <col min="12" max="12" width="9.109375" style="2" customWidth="1"/>
    <col min="13" max="13" width="18.5546875" style="2" customWidth="1"/>
    <col min="14" max="14" width="13.109375" style="2" customWidth="1"/>
    <col min="15" max="19" width="9.109375" style="2" customWidth="1"/>
    <col min="20" max="16384" width="9.109375" style="2"/>
  </cols>
  <sheetData>
    <row r="1" spans="2:16" ht="14.25" customHeight="1" thickBot="1" x14ac:dyDescent="0.35"/>
    <row r="2" spans="2:16" s="1" customFormat="1" ht="22.5" customHeight="1" thickBot="1" x14ac:dyDescent="0.35">
      <c r="B2" s="239" t="s">
        <v>73</v>
      </c>
      <c r="C2" s="240"/>
      <c r="D2" s="240"/>
      <c r="E2" s="241"/>
      <c r="G2" s="3"/>
      <c r="J2" s="3" t="s">
        <v>0</v>
      </c>
    </row>
    <row r="3" spans="2:16" ht="14.25" customHeight="1" thickBot="1" x14ac:dyDescent="0.35">
      <c r="J3" s="3" t="s">
        <v>1</v>
      </c>
    </row>
    <row r="4" spans="2:16" ht="14.25" customHeight="1" x14ac:dyDescent="0.3">
      <c r="B4" s="218" t="s">
        <v>2</v>
      </c>
      <c r="C4" s="219"/>
      <c r="D4" s="219"/>
      <c r="E4" s="220"/>
      <c r="J4" s="3"/>
    </row>
    <row r="5" spans="2:16" ht="14.25" customHeight="1" x14ac:dyDescent="0.3">
      <c r="B5" s="242" t="s">
        <v>3</v>
      </c>
      <c r="C5" s="243"/>
      <c r="D5" s="244"/>
      <c r="E5" s="4"/>
      <c r="J5" s="3"/>
    </row>
    <row r="6" spans="2:16" ht="14.25" customHeight="1" x14ac:dyDescent="0.3">
      <c r="B6" s="201" t="s">
        <v>4</v>
      </c>
      <c r="C6" s="202"/>
      <c r="D6" s="203"/>
      <c r="E6" s="5" t="s">
        <v>5</v>
      </c>
      <c r="J6" s="3"/>
    </row>
    <row r="7" spans="2:16" ht="14.25" customHeight="1" x14ac:dyDescent="0.3">
      <c r="B7" s="201" t="s">
        <v>6</v>
      </c>
      <c r="C7" s="202"/>
      <c r="D7" s="203"/>
      <c r="E7" s="5" t="s">
        <v>148</v>
      </c>
      <c r="J7" s="3"/>
    </row>
    <row r="8" spans="2:16" ht="14.25" customHeight="1" thickBot="1" x14ac:dyDescent="0.35">
      <c r="B8" s="236" t="s">
        <v>7</v>
      </c>
      <c r="C8" s="237"/>
      <c r="D8" s="238"/>
      <c r="E8" s="6">
        <v>12</v>
      </c>
      <c r="J8" s="3"/>
    </row>
    <row r="9" spans="2:16" ht="14.25" customHeight="1" thickBot="1" x14ac:dyDescent="0.35">
      <c r="J9" s="3"/>
    </row>
    <row r="10" spans="2:16" ht="14.25" customHeight="1" thickBot="1" x14ac:dyDescent="0.35">
      <c r="B10" s="218" t="s">
        <v>8</v>
      </c>
      <c r="C10" s="219"/>
      <c r="D10" s="219"/>
      <c r="E10" s="220"/>
      <c r="J10" s="3"/>
    </row>
    <row r="11" spans="2:16" s="10" customFormat="1" ht="33" customHeight="1" x14ac:dyDescent="0.3">
      <c r="B11" s="221" t="s">
        <v>9</v>
      </c>
      <c r="C11" s="222"/>
      <c r="D11" s="7" t="s">
        <v>10</v>
      </c>
      <c r="E11" s="8" t="s">
        <v>11</v>
      </c>
      <c r="F11" s="9"/>
      <c r="I11" s="11"/>
      <c r="J11" s="11"/>
      <c r="K11" s="11"/>
      <c r="L11" s="11"/>
      <c r="M11" s="11">
        <f>'1'!E91</f>
        <v>23924.14823739705</v>
      </c>
      <c r="N11" s="11"/>
      <c r="O11" s="11"/>
      <c r="P11" s="11"/>
    </row>
    <row r="12" spans="2:16" s="10" customFormat="1" ht="12" x14ac:dyDescent="0.3">
      <c r="B12" s="234" t="s">
        <v>91</v>
      </c>
      <c r="C12" s="235"/>
      <c r="D12" s="235"/>
      <c r="E12" s="61" t="s">
        <v>90</v>
      </c>
      <c r="F12" s="9"/>
      <c r="I12" s="11"/>
      <c r="J12" s="11"/>
      <c r="K12" s="11"/>
      <c r="L12" s="11"/>
      <c r="M12" s="11"/>
      <c r="N12" s="11"/>
      <c r="O12" s="11"/>
      <c r="P12" s="11"/>
    </row>
    <row r="13" spans="2:16" ht="14.25" customHeight="1" thickBot="1" x14ac:dyDescent="0.35">
      <c r="B13" s="223" t="s">
        <v>226</v>
      </c>
      <c r="C13" s="224"/>
      <c r="D13" s="12" t="s">
        <v>12</v>
      </c>
      <c r="E13" s="13">
        <v>2</v>
      </c>
      <c r="F13" s="14"/>
      <c r="H13" s="15"/>
      <c r="I13" s="11"/>
      <c r="J13" s="11"/>
      <c r="K13" s="11"/>
      <c r="L13" s="11"/>
      <c r="M13" s="11"/>
      <c r="N13" s="11"/>
      <c r="O13" s="11"/>
      <c r="P13" s="11"/>
    </row>
    <row r="14" spans="2:16" ht="14.25" customHeight="1" thickBot="1" x14ac:dyDescent="0.35">
      <c r="H14" s="11"/>
      <c r="I14" s="11"/>
      <c r="J14" s="11"/>
      <c r="K14" s="11"/>
      <c r="L14" s="11"/>
      <c r="M14" s="11"/>
      <c r="N14" s="11"/>
      <c r="O14" s="11"/>
      <c r="P14" s="11"/>
    </row>
    <row r="15" spans="2:16" ht="14.25" customHeight="1" x14ac:dyDescent="0.3">
      <c r="B15" s="218" t="s">
        <v>13</v>
      </c>
      <c r="C15" s="219"/>
      <c r="D15" s="219"/>
      <c r="E15" s="220"/>
      <c r="H15" s="11"/>
      <c r="I15" s="11"/>
      <c r="J15" s="11"/>
      <c r="K15" s="11"/>
      <c r="L15" s="11"/>
      <c r="M15" s="11"/>
      <c r="N15" s="11"/>
      <c r="O15" s="11"/>
      <c r="P15" s="11"/>
    </row>
    <row r="16" spans="2:16" ht="14.25" customHeight="1" x14ac:dyDescent="0.3">
      <c r="B16" s="16">
        <v>1</v>
      </c>
      <c r="C16" s="225" t="s">
        <v>14</v>
      </c>
      <c r="D16" s="226"/>
      <c r="E16" s="17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14.25" customHeight="1" x14ac:dyDescent="0.3">
      <c r="B17" s="18">
        <v>2</v>
      </c>
      <c r="C17" s="227" t="s">
        <v>15</v>
      </c>
      <c r="D17" s="228"/>
      <c r="E17" s="17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14.25" customHeight="1" x14ac:dyDescent="0.3">
      <c r="B18" s="18">
        <v>3</v>
      </c>
      <c r="C18" s="227" t="s">
        <v>16</v>
      </c>
      <c r="D18" s="228"/>
      <c r="E18" s="17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14.25" customHeight="1" thickBot="1" x14ac:dyDescent="0.35">
      <c r="B19" s="19">
        <v>4</v>
      </c>
      <c r="C19" s="229" t="s">
        <v>17</v>
      </c>
      <c r="D19" s="230"/>
      <c r="E19" s="55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4.25" customHeight="1" thickBot="1" x14ac:dyDescent="0.35"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4.25" customHeight="1" x14ac:dyDescent="0.3">
      <c r="B21" s="231" t="s">
        <v>18</v>
      </c>
      <c r="C21" s="232"/>
      <c r="D21" s="232"/>
      <c r="E21" s="233"/>
      <c r="F21" s="20"/>
      <c r="H21" s="11"/>
      <c r="I21" s="11"/>
      <c r="J21" s="11"/>
      <c r="K21" s="11"/>
      <c r="L21" s="11"/>
      <c r="M21" s="11">
        <f>'11'!E91</f>
        <v>16655.190792319532</v>
      </c>
      <c r="N21" s="11"/>
      <c r="O21" s="11"/>
      <c r="P21" s="11"/>
    </row>
    <row r="22" spans="1:16" ht="14.25" customHeight="1" x14ac:dyDescent="0.3">
      <c r="B22" s="21" t="s">
        <v>19</v>
      </c>
      <c r="C22" s="22"/>
      <c r="D22" s="23"/>
      <c r="E22" s="17">
        <v>13567.11</v>
      </c>
      <c r="F22" s="24"/>
      <c r="H22" s="34"/>
      <c r="I22" s="34"/>
      <c r="J22" s="11"/>
      <c r="K22" s="11"/>
      <c r="L22" s="11"/>
      <c r="M22" s="11"/>
      <c r="N22" s="11"/>
      <c r="O22" s="11"/>
      <c r="P22" s="11"/>
    </row>
    <row r="23" spans="1:16" ht="14.25" customHeight="1" x14ac:dyDescent="0.3">
      <c r="B23" s="25" t="s">
        <v>74</v>
      </c>
      <c r="C23" s="26"/>
      <c r="D23" s="27"/>
      <c r="E23" s="17"/>
      <c r="F23" s="24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14.25" customHeight="1" x14ac:dyDescent="0.3">
      <c r="B24" s="25" t="s">
        <v>20</v>
      </c>
      <c r="C24" s="26"/>
      <c r="D24" s="27"/>
      <c r="E24" s="17"/>
      <c r="F24" s="24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14.25" customHeight="1" thickBot="1" x14ac:dyDescent="0.35">
      <c r="B25" s="191" t="s">
        <v>21</v>
      </c>
      <c r="C25" s="192"/>
      <c r="D25" s="193"/>
      <c r="E25" s="28">
        <v>13567.11</v>
      </c>
      <c r="F25" s="29"/>
      <c r="H25" s="11"/>
      <c r="I25" s="11"/>
      <c r="J25" s="11"/>
      <c r="K25" s="11"/>
      <c r="L25" s="11"/>
      <c r="M25" s="11"/>
      <c r="N25" s="11"/>
      <c r="O25" s="11"/>
      <c r="P25" s="11"/>
    </row>
    <row r="26" spans="1:16" ht="14.25" customHeight="1" thickBot="1" x14ac:dyDescent="0.35"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14.25" customHeight="1" thickBot="1" x14ac:dyDescent="0.35">
      <c r="B27" s="194" t="s">
        <v>22</v>
      </c>
      <c r="C27" s="195"/>
      <c r="D27" s="195"/>
      <c r="E27" s="196"/>
      <c r="F27" s="20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14.25" customHeight="1" x14ac:dyDescent="0.3">
      <c r="B28" s="212" t="s">
        <v>23</v>
      </c>
      <c r="C28" s="213"/>
      <c r="D28" s="213"/>
      <c r="E28" s="214"/>
      <c r="H28" s="11"/>
      <c r="I28" s="11"/>
      <c r="J28" s="11"/>
      <c r="K28" s="11"/>
      <c r="L28" s="11"/>
      <c r="M28" s="11"/>
      <c r="N28" s="11"/>
      <c r="O28" s="11"/>
      <c r="P28" s="11"/>
    </row>
    <row r="29" spans="1:16" ht="14.25" customHeight="1" x14ac:dyDescent="0.3">
      <c r="A29" s="2" t="s">
        <v>24</v>
      </c>
      <c r="B29" s="21" t="s">
        <v>25</v>
      </c>
      <c r="C29" s="22"/>
      <c r="D29" s="30">
        <v>8.3299999999999999E-2</v>
      </c>
      <c r="E29" s="57">
        <f>D29*E22</f>
        <v>1130.140263</v>
      </c>
      <c r="F29" s="32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14.25" customHeight="1" x14ac:dyDescent="0.3">
      <c r="A30" s="2" t="s">
        <v>26</v>
      </c>
      <c r="B30" s="21" t="s">
        <v>27</v>
      </c>
      <c r="C30" s="22"/>
      <c r="D30" s="30">
        <v>0.121</v>
      </c>
      <c r="E30" s="57">
        <f>D30*E25</f>
        <v>1641.62031</v>
      </c>
      <c r="F30" s="32"/>
      <c r="H30" s="11"/>
      <c r="I30" s="34"/>
      <c r="J30" s="11"/>
      <c r="K30" s="11"/>
      <c r="L30" s="11"/>
      <c r="M30" s="11"/>
      <c r="N30" s="11"/>
      <c r="O30" s="11"/>
      <c r="P30" s="11"/>
    </row>
    <row r="31" spans="1:16" ht="14.25" customHeight="1" thickBot="1" x14ac:dyDescent="0.35">
      <c r="B31" s="93" t="s">
        <v>163</v>
      </c>
      <c r="C31" s="94"/>
      <c r="D31" s="163">
        <f>D29+D30</f>
        <v>0.20429999999999998</v>
      </c>
      <c r="E31" s="33">
        <f>SUM(E29:E30)</f>
        <v>2771.760573</v>
      </c>
      <c r="F31" s="29"/>
      <c r="H31" s="11"/>
      <c r="I31" s="11"/>
      <c r="J31" s="11"/>
      <c r="K31" s="11"/>
      <c r="L31" s="11"/>
      <c r="M31" s="11"/>
      <c r="N31" s="11"/>
      <c r="O31" s="11"/>
      <c r="P31" s="11"/>
    </row>
    <row r="32" spans="1:16" ht="14.25" customHeight="1" x14ac:dyDescent="0.3">
      <c r="B32" s="21" t="s">
        <v>250</v>
      </c>
      <c r="C32" s="22"/>
      <c r="D32" s="95">
        <f>D43*D31</f>
        <v>4.0451890319999996E-2</v>
      </c>
      <c r="E32" s="57">
        <f>D32*E25</f>
        <v>548.81524567937515</v>
      </c>
      <c r="F32" s="29"/>
      <c r="H32" s="11"/>
      <c r="I32" s="11"/>
      <c r="J32" s="11"/>
      <c r="K32" s="11"/>
      <c r="L32" s="11"/>
      <c r="M32" s="11"/>
      <c r="N32" s="11"/>
      <c r="O32" s="11"/>
      <c r="P32" s="11"/>
    </row>
    <row r="33" spans="1:16" ht="14.25" customHeight="1" thickBot="1" x14ac:dyDescent="0.35">
      <c r="B33" s="93" t="s">
        <v>28</v>
      </c>
      <c r="C33" s="94"/>
      <c r="D33" s="97">
        <f>SUM(D31+D32)</f>
        <v>0.24475189031999997</v>
      </c>
      <c r="E33" s="33">
        <f>SUM(E31:E32)</f>
        <v>3320.5758186793751</v>
      </c>
      <c r="F33" s="29"/>
      <c r="H33" s="34"/>
      <c r="I33" s="11"/>
      <c r="J33" s="11"/>
      <c r="K33" s="11"/>
      <c r="L33" s="11"/>
      <c r="M33" s="11"/>
      <c r="N33" s="11"/>
      <c r="O33" s="11"/>
      <c r="P33" s="11"/>
    </row>
    <row r="34" spans="1:16" ht="14.25" customHeight="1" x14ac:dyDescent="0.3">
      <c r="B34" s="212" t="s">
        <v>29</v>
      </c>
      <c r="C34" s="213"/>
      <c r="D34" s="213"/>
      <c r="E34" s="214"/>
      <c r="H34" s="11"/>
      <c r="I34" s="11"/>
      <c r="J34" s="11"/>
      <c r="K34" s="11"/>
      <c r="L34" s="11"/>
      <c r="M34" s="11"/>
      <c r="N34" s="11"/>
      <c r="O34" s="11"/>
      <c r="P34" s="11"/>
    </row>
    <row r="35" spans="1:16" ht="14.25" customHeight="1" x14ac:dyDescent="0.3">
      <c r="A35" s="2" t="s">
        <v>24</v>
      </c>
      <c r="B35" s="21" t="s">
        <v>30</v>
      </c>
      <c r="C35" s="22"/>
      <c r="D35" s="30">
        <v>0.05</v>
      </c>
      <c r="E35" s="57">
        <f>D35*E$25</f>
        <v>678.35550000000012</v>
      </c>
      <c r="F35" s="32"/>
      <c r="H35" s="11"/>
      <c r="I35" s="11"/>
      <c r="J35" s="11"/>
      <c r="K35" s="11"/>
      <c r="L35" s="11"/>
      <c r="M35" s="11"/>
      <c r="N35" s="11"/>
      <c r="O35" s="11"/>
      <c r="P35" s="11"/>
    </row>
    <row r="36" spans="1:16" ht="14.25" customHeight="1" x14ac:dyDescent="0.3">
      <c r="A36" s="2" t="s">
        <v>26</v>
      </c>
      <c r="B36" s="21" t="s">
        <v>31</v>
      </c>
      <c r="C36" s="22"/>
      <c r="D36" s="30">
        <v>2.5002400000000001E-2</v>
      </c>
      <c r="E36" s="57">
        <f>ROUND(D36*E$25,2)</f>
        <v>339.21</v>
      </c>
      <c r="F36" s="32"/>
      <c r="H36" s="34"/>
      <c r="I36" s="11"/>
      <c r="J36" s="11"/>
      <c r="K36" s="11"/>
      <c r="L36" s="11"/>
      <c r="M36" s="11"/>
      <c r="N36" s="11"/>
      <c r="O36" s="11"/>
      <c r="P36" s="11"/>
    </row>
    <row r="37" spans="1:16" ht="14.25" customHeight="1" x14ac:dyDescent="0.3">
      <c r="A37" s="2" t="s">
        <v>32</v>
      </c>
      <c r="B37" s="21" t="s">
        <v>33</v>
      </c>
      <c r="C37" s="22"/>
      <c r="D37" s="35">
        <v>0.01</v>
      </c>
      <c r="E37" s="57">
        <f t="shared" ref="E37:E42" si="0">D37*E$25</f>
        <v>135.6711</v>
      </c>
      <c r="F37" s="32"/>
      <c r="H37" s="11"/>
      <c r="I37" s="11"/>
      <c r="J37" s="11"/>
      <c r="K37" s="11"/>
      <c r="L37" s="11"/>
      <c r="M37" s="11"/>
      <c r="N37" s="11"/>
      <c r="O37" s="11"/>
      <c r="P37" s="11"/>
    </row>
    <row r="38" spans="1:16" ht="14.25" customHeight="1" x14ac:dyDescent="0.3">
      <c r="A38" s="2" t="s">
        <v>34</v>
      </c>
      <c r="B38" s="21" t="s">
        <v>35</v>
      </c>
      <c r="C38" s="22"/>
      <c r="D38" s="30">
        <v>1.4999999999999999E-2</v>
      </c>
      <c r="E38" s="57">
        <f t="shared" si="0"/>
        <v>203.50665000000001</v>
      </c>
      <c r="F38" s="32"/>
      <c r="H38" s="11"/>
      <c r="I38" s="11"/>
      <c r="J38" s="11"/>
      <c r="K38" s="11"/>
      <c r="L38" s="11"/>
      <c r="M38" s="11"/>
      <c r="N38" s="11"/>
      <c r="O38" s="11"/>
      <c r="P38" s="11"/>
    </row>
    <row r="39" spans="1:16" ht="14.25" customHeight="1" x14ac:dyDescent="0.3">
      <c r="A39" s="2" t="s">
        <v>36</v>
      </c>
      <c r="B39" s="21" t="s">
        <v>37</v>
      </c>
      <c r="C39" s="22"/>
      <c r="D39" s="30">
        <v>0.01</v>
      </c>
      <c r="E39" s="57">
        <f t="shared" si="0"/>
        <v>135.6711</v>
      </c>
      <c r="F39" s="32"/>
      <c r="H39" s="11"/>
      <c r="I39" s="11"/>
      <c r="J39" s="11"/>
      <c r="K39" s="11"/>
      <c r="L39" s="11"/>
      <c r="M39" s="11"/>
      <c r="N39" s="11"/>
      <c r="O39" s="11"/>
      <c r="P39" s="11"/>
    </row>
    <row r="40" spans="1:16" ht="14.25" customHeight="1" x14ac:dyDescent="0.3">
      <c r="A40" s="2" t="s">
        <v>38</v>
      </c>
      <c r="B40" s="21" t="s">
        <v>39</v>
      </c>
      <c r="C40" s="22"/>
      <c r="D40" s="30">
        <v>6.0000000000000001E-3</v>
      </c>
      <c r="E40" s="57">
        <f t="shared" si="0"/>
        <v>81.402660000000012</v>
      </c>
      <c r="F40" s="32"/>
      <c r="H40" s="11"/>
      <c r="I40" s="11"/>
      <c r="J40" s="11"/>
      <c r="K40" s="11"/>
      <c r="L40" s="11"/>
      <c r="M40" s="11"/>
      <c r="N40" s="11"/>
      <c r="O40" s="11"/>
      <c r="P40" s="11"/>
    </row>
    <row r="41" spans="1:16" ht="14.25" customHeight="1" x14ac:dyDescent="0.3">
      <c r="A41" s="2" t="s">
        <v>40</v>
      </c>
      <c r="B41" s="21" t="s">
        <v>41</v>
      </c>
      <c r="C41" s="22"/>
      <c r="D41" s="36">
        <v>2E-3</v>
      </c>
      <c r="E41" s="57">
        <f t="shared" si="0"/>
        <v>27.134220000000003</v>
      </c>
      <c r="F41" s="32"/>
      <c r="H41" s="11"/>
      <c r="I41" s="11"/>
      <c r="J41" s="11"/>
      <c r="K41" s="11"/>
      <c r="L41" s="11"/>
      <c r="M41" s="11"/>
      <c r="N41" s="11"/>
      <c r="O41" s="11"/>
      <c r="P41" s="11"/>
    </row>
    <row r="42" spans="1:16" ht="14.25" customHeight="1" x14ac:dyDescent="0.3">
      <c r="A42" s="2" t="s">
        <v>42</v>
      </c>
      <c r="B42" s="21" t="s">
        <v>43</v>
      </c>
      <c r="C42" s="22"/>
      <c r="D42" s="30">
        <v>0.08</v>
      </c>
      <c r="E42" s="57">
        <f t="shared" si="0"/>
        <v>1085.3688</v>
      </c>
      <c r="F42" s="32"/>
      <c r="H42" s="245"/>
      <c r="I42" s="246">
        <v>22</v>
      </c>
      <c r="J42" s="11"/>
      <c r="K42" s="11"/>
      <c r="L42" s="11"/>
      <c r="M42" s="11"/>
      <c r="N42" s="11"/>
      <c r="O42" s="11"/>
      <c r="P42" s="11"/>
    </row>
    <row r="43" spans="1:16" ht="14.25" customHeight="1" thickBot="1" x14ac:dyDescent="0.35">
      <c r="B43" s="215" t="s">
        <v>44</v>
      </c>
      <c r="C43" s="216"/>
      <c r="D43" s="37">
        <f>SUM(D35:D42)</f>
        <v>0.1980024</v>
      </c>
      <c r="E43" s="33">
        <f>SUM(E35:E42)</f>
        <v>2686.3200299999999</v>
      </c>
      <c r="F43" s="29"/>
      <c r="H43" s="245"/>
      <c r="I43" s="246"/>
      <c r="J43" s="34">
        <f>E43-H43</f>
        <v>2686.3200299999999</v>
      </c>
      <c r="K43" s="11"/>
      <c r="L43" s="11"/>
      <c r="M43" s="11"/>
      <c r="N43" s="11"/>
      <c r="O43" s="11"/>
      <c r="P43" s="11"/>
    </row>
    <row r="44" spans="1:16" ht="14.25" customHeight="1" x14ac:dyDescent="0.3">
      <c r="B44" s="212" t="s">
        <v>45</v>
      </c>
      <c r="C44" s="213"/>
      <c r="D44" s="213"/>
      <c r="E44" s="214"/>
      <c r="H44" s="245"/>
      <c r="I44" s="246"/>
      <c r="J44" s="11"/>
      <c r="K44" s="11"/>
      <c r="L44" s="11"/>
      <c r="M44" s="11"/>
      <c r="N44" s="11"/>
      <c r="O44" s="11"/>
      <c r="P44" s="11"/>
    </row>
    <row r="45" spans="1:16" ht="14.25" customHeight="1" x14ac:dyDescent="0.3">
      <c r="A45" s="2" t="s">
        <v>24</v>
      </c>
      <c r="B45" s="201" t="s">
        <v>46</v>
      </c>
      <c r="C45" s="202"/>
      <c r="D45" s="203"/>
      <c r="E45" s="57">
        <v>0</v>
      </c>
      <c r="F45" s="32"/>
      <c r="H45" s="38"/>
      <c r="I45" s="39">
        <v>5.5</v>
      </c>
      <c r="J45" s="11"/>
      <c r="K45" s="11"/>
      <c r="L45" s="11"/>
      <c r="M45" s="11"/>
      <c r="N45" s="11"/>
      <c r="O45" s="11"/>
      <c r="P45" s="11"/>
    </row>
    <row r="46" spans="1:16" ht="14.25" customHeight="1" x14ac:dyDescent="0.3">
      <c r="A46" s="2" t="s">
        <v>26</v>
      </c>
      <c r="B46" s="201" t="s">
        <v>47</v>
      </c>
      <c r="C46" s="202"/>
      <c r="D46" s="203"/>
      <c r="E46" s="57">
        <v>589.77599999999995</v>
      </c>
      <c r="F46" s="32"/>
      <c r="H46" s="38"/>
      <c r="I46" s="41"/>
      <c r="J46" s="11"/>
      <c r="K46" s="11"/>
      <c r="L46" s="70"/>
      <c r="M46" s="11"/>
      <c r="N46" s="11"/>
      <c r="O46" s="11"/>
      <c r="P46" s="11"/>
    </row>
    <row r="47" spans="1:16" ht="14.25" customHeight="1" x14ac:dyDescent="0.3">
      <c r="A47" s="2" t="s">
        <v>32</v>
      </c>
      <c r="B47" s="21" t="s">
        <v>48</v>
      </c>
      <c r="C47" s="22"/>
      <c r="D47" s="40"/>
      <c r="E47" s="57">
        <v>165</v>
      </c>
      <c r="F47" s="32"/>
      <c r="H47" s="38"/>
      <c r="I47" s="41"/>
      <c r="J47" s="11"/>
      <c r="K47" s="11"/>
      <c r="L47" s="11"/>
      <c r="M47" s="11"/>
      <c r="N47" s="11"/>
      <c r="O47" s="11"/>
      <c r="P47" s="11"/>
    </row>
    <row r="48" spans="1:16" ht="14.25" customHeight="1" x14ac:dyDescent="0.3">
      <c r="A48" s="2" t="s">
        <v>34</v>
      </c>
      <c r="B48" s="201" t="s">
        <v>20</v>
      </c>
      <c r="C48" s="202"/>
      <c r="D48" s="203"/>
      <c r="E48" s="31"/>
      <c r="F48" s="32"/>
      <c r="H48" s="38"/>
      <c r="I48" s="58"/>
      <c r="J48" s="11"/>
      <c r="K48" s="11"/>
      <c r="L48" s="11"/>
      <c r="M48" s="11"/>
      <c r="N48" s="11"/>
      <c r="O48" s="11"/>
      <c r="P48" s="11"/>
    </row>
    <row r="49" spans="1:17" ht="14.25" customHeight="1" thickBot="1" x14ac:dyDescent="0.35">
      <c r="B49" s="215" t="s">
        <v>49</v>
      </c>
      <c r="C49" s="217"/>
      <c r="D49" s="216">
        <v>0</v>
      </c>
      <c r="E49" s="33">
        <f>SUM(E45:E47)</f>
        <v>754.77599999999995</v>
      </c>
      <c r="F49" s="29"/>
      <c r="H49" s="38"/>
      <c r="I49" s="41"/>
      <c r="J49" s="11"/>
      <c r="K49" s="11"/>
      <c r="L49" s="11"/>
      <c r="M49" s="11"/>
      <c r="N49" s="11"/>
      <c r="O49" s="11"/>
      <c r="P49" s="11"/>
    </row>
    <row r="50" spans="1:17" ht="14.25" customHeight="1" thickBot="1" x14ac:dyDescent="0.35">
      <c r="B50" s="191" t="s">
        <v>50</v>
      </c>
      <c r="C50" s="192"/>
      <c r="D50" s="193"/>
      <c r="E50" s="28">
        <f>E43+E33+E49</f>
        <v>6761.6718486793743</v>
      </c>
      <c r="F50" s="29"/>
      <c r="H50" s="38"/>
      <c r="I50" s="41"/>
      <c r="J50" s="11"/>
      <c r="K50" s="11"/>
      <c r="L50" s="11"/>
      <c r="M50" s="11"/>
      <c r="N50" s="11"/>
      <c r="O50" s="11"/>
      <c r="P50" s="11"/>
    </row>
    <row r="51" spans="1:17" ht="14.25" customHeight="1" thickBot="1" x14ac:dyDescent="0.35">
      <c r="H51" s="38"/>
      <c r="I51" s="41"/>
      <c r="J51" s="11"/>
      <c r="K51" s="11"/>
      <c r="L51" s="11"/>
      <c r="M51" s="11"/>
      <c r="N51" s="11"/>
      <c r="O51" s="11"/>
      <c r="P51" s="11"/>
    </row>
    <row r="52" spans="1:17" ht="14.25" customHeight="1" thickBot="1" x14ac:dyDescent="0.35">
      <c r="B52" s="194" t="s">
        <v>51</v>
      </c>
      <c r="C52" s="195"/>
      <c r="D52" s="195"/>
      <c r="E52" s="196"/>
      <c r="F52" s="20"/>
      <c r="H52" s="38"/>
      <c r="I52" s="41"/>
      <c r="J52" s="11"/>
      <c r="K52" s="11"/>
      <c r="L52" s="11"/>
      <c r="M52" s="11"/>
      <c r="N52" s="11"/>
      <c r="O52" s="11"/>
      <c r="P52" s="11"/>
    </row>
    <row r="53" spans="1:17" ht="14.25" customHeight="1" x14ac:dyDescent="0.3">
      <c r="A53" s="2" t="s">
        <v>24</v>
      </c>
      <c r="B53" s="21" t="s">
        <v>52</v>
      </c>
      <c r="C53" s="21"/>
      <c r="D53" s="30">
        <v>4.2119999999999996E-3</v>
      </c>
      <c r="E53" s="57">
        <f t="shared" ref="E53:E58" si="1">D53*E$25</f>
        <v>57.144667319999996</v>
      </c>
      <c r="F53" s="32"/>
      <c r="H53" s="245" t="s">
        <v>53</v>
      </c>
      <c r="I53" s="247">
        <v>5.5500000000000001E-2</v>
      </c>
      <c r="J53" s="11"/>
      <c r="K53" s="11"/>
      <c r="L53" s="11"/>
      <c r="M53" s="11"/>
      <c r="N53" s="11"/>
      <c r="O53" s="11"/>
      <c r="P53" s="11"/>
    </row>
    <row r="54" spans="1:17" ht="14.25" customHeight="1" x14ac:dyDescent="0.3">
      <c r="A54" s="2" t="s">
        <v>26</v>
      </c>
      <c r="B54" s="21" t="s">
        <v>54</v>
      </c>
      <c r="C54" s="21"/>
      <c r="D54" s="30">
        <v>3.3695999999999997E-4</v>
      </c>
      <c r="E54" s="57">
        <f t="shared" si="1"/>
        <v>4.5715733855999998</v>
      </c>
      <c r="F54" s="32"/>
      <c r="H54" s="245"/>
      <c r="I54" s="247"/>
      <c r="J54" s="11">
        <v>8.33</v>
      </c>
      <c r="K54" s="11">
        <f>J54/12</f>
        <v>0.69416666666666671</v>
      </c>
      <c r="L54" s="11"/>
      <c r="M54" s="11"/>
      <c r="N54" s="11"/>
      <c r="O54" s="11"/>
      <c r="P54" s="11"/>
    </row>
    <row r="55" spans="1:17" ht="14.25" customHeight="1" x14ac:dyDescent="0.3">
      <c r="A55" s="2" t="s">
        <v>32</v>
      </c>
      <c r="B55" s="21" t="s">
        <v>55</v>
      </c>
      <c r="C55" s="21"/>
      <c r="D55" s="30">
        <v>0.02</v>
      </c>
      <c r="E55" s="57">
        <f t="shared" si="1"/>
        <v>271.34219999999999</v>
      </c>
      <c r="F55" s="32"/>
      <c r="H55" s="245" t="s">
        <v>56</v>
      </c>
      <c r="I55" s="246">
        <v>0.9</v>
      </c>
      <c r="J55" s="11">
        <v>2.78</v>
      </c>
      <c r="K55" s="11">
        <f>J55/12</f>
        <v>0.23166666666666666</v>
      </c>
      <c r="L55" s="11"/>
      <c r="M55" s="105"/>
      <c r="N55" s="11"/>
      <c r="O55" s="11"/>
      <c r="P55" s="11"/>
      <c r="Q55" s="104"/>
    </row>
    <row r="56" spans="1:17" ht="14.25" customHeight="1" x14ac:dyDescent="0.3">
      <c r="A56" s="2" t="s">
        <v>34</v>
      </c>
      <c r="B56" s="21" t="s">
        <v>57</v>
      </c>
      <c r="C56" s="21"/>
      <c r="D56" s="30">
        <v>1.9444444444444445E-2</v>
      </c>
      <c r="E56" s="57">
        <f t="shared" si="1"/>
        <v>263.80491666666666</v>
      </c>
      <c r="F56" s="32"/>
      <c r="H56" s="245"/>
      <c r="I56" s="246"/>
      <c r="J56" s="11"/>
      <c r="K56" s="11">
        <f>ROUND(SUM(K54:K55),2)</f>
        <v>0.93</v>
      </c>
      <c r="L56" s="11"/>
      <c r="M56" s="11"/>
      <c r="N56" s="11"/>
      <c r="O56" s="11"/>
      <c r="P56" s="11"/>
    </row>
    <row r="57" spans="1:17" ht="14.25" customHeight="1" x14ac:dyDescent="0.3">
      <c r="A57" s="2" t="s">
        <v>36</v>
      </c>
      <c r="B57" s="21" t="s">
        <v>58</v>
      </c>
      <c r="C57" s="22"/>
      <c r="D57" s="30">
        <v>2.8778244444444445E-3</v>
      </c>
      <c r="E57" s="57">
        <f t="shared" si="1"/>
        <v>39.043760798466671</v>
      </c>
      <c r="F57" s="32"/>
      <c r="H57" s="245"/>
      <c r="I57" s="246"/>
      <c r="J57" s="11"/>
      <c r="K57" s="11"/>
      <c r="L57" s="11"/>
      <c r="M57" s="11"/>
      <c r="N57" s="11"/>
      <c r="O57" s="11"/>
      <c r="P57" s="11"/>
    </row>
    <row r="58" spans="1:17" ht="14.25" customHeight="1" x14ac:dyDescent="0.3">
      <c r="A58" s="2" t="s">
        <v>38</v>
      </c>
      <c r="B58" s="21" t="s">
        <v>59</v>
      </c>
      <c r="C58" s="21"/>
      <c r="D58" s="30">
        <v>0.02</v>
      </c>
      <c r="E58" s="57">
        <f t="shared" si="1"/>
        <v>271.34219999999999</v>
      </c>
      <c r="F58" s="32"/>
      <c r="H58" s="38"/>
      <c r="I58" s="38"/>
      <c r="J58" s="11"/>
      <c r="K58" s="11"/>
      <c r="L58" s="11"/>
      <c r="M58" s="11"/>
      <c r="N58" s="11"/>
      <c r="O58" s="11"/>
      <c r="P58" s="11"/>
    </row>
    <row r="59" spans="1:17" ht="14.25" customHeight="1" thickBot="1" x14ac:dyDescent="0.35">
      <c r="B59" s="191" t="s">
        <v>60</v>
      </c>
      <c r="C59" s="192"/>
      <c r="D59" s="193"/>
      <c r="E59" s="28">
        <f>SUM(E53:E58)</f>
        <v>907.2493181707332</v>
      </c>
      <c r="F59" s="29"/>
      <c r="H59" s="38"/>
      <c r="I59" s="38"/>
      <c r="J59" s="11"/>
      <c r="K59" s="11"/>
      <c r="L59" s="11"/>
      <c r="M59" s="11"/>
      <c r="N59" s="11"/>
      <c r="O59" s="11"/>
      <c r="P59" s="11"/>
    </row>
    <row r="60" spans="1:17" ht="14.25" customHeight="1" thickBot="1" x14ac:dyDescent="0.35">
      <c r="H60" s="38"/>
      <c r="I60" s="38"/>
      <c r="J60" s="11"/>
      <c r="K60" s="11"/>
      <c r="L60" s="11"/>
      <c r="M60" s="11"/>
      <c r="N60" s="11"/>
      <c r="O60" s="11"/>
      <c r="P60" s="11"/>
    </row>
    <row r="61" spans="1:17" ht="14.25" customHeight="1" x14ac:dyDescent="0.3">
      <c r="B61" s="204" t="s">
        <v>75</v>
      </c>
      <c r="C61" s="205"/>
      <c r="D61" s="205"/>
      <c r="E61" s="206"/>
      <c r="F61" s="20"/>
      <c r="H61" s="38"/>
      <c r="I61" s="38"/>
      <c r="J61" s="11"/>
      <c r="K61" s="11"/>
      <c r="L61" s="11"/>
      <c r="M61" s="11"/>
      <c r="N61" s="11"/>
      <c r="O61" s="11"/>
      <c r="P61" s="11"/>
    </row>
    <row r="62" spans="1:17" ht="14.25" customHeight="1" x14ac:dyDescent="0.3">
      <c r="B62" s="207"/>
      <c r="C62" s="208"/>
      <c r="D62" s="208"/>
      <c r="E62" s="209"/>
      <c r="H62" s="11"/>
      <c r="I62" s="11"/>
      <c r="J62" s="11"/>
      <c r="K62" s="11"/>
      <c r="L62" s="11"/>
      <c r="M62" s="11"/>
      <c r="N62" s="11"/>
      <c r="O62" s="11"/>
      <c r="P62" s="11"/>
    </row>
    <row r="63" spans="1:17" ht="14.25" customHeight="1" x14ac:dyDescent="0.3">
      <c r="A63" s="2" t="s">
        <v>24</v>
      </c>
      <c r="B63" s="201" t="s">
        <v>76</v>
      </c>
      <c r="C63" s="203"/>
      <c r="D63" s="30">
        <v>9.2999999999999992E-3</v>
      </c>
      <c r="E63" s="57">
        <f t="shared" ref="E63:E68" si="2">D63*E$25</f>
        <v>126.17412299999999</v>
      </c>
      <c r="F63" s="32"/>
      <c r="H63" s="38"/>
      <c r="I63" s="38"/>
      <c r="J63" s="11"/>
      <c r="K63" s="11"/>
      <c r="L63" s="11"/>
      <c r="M63" s="11"/>
      <c r="N63" s="11"/>
      <c r="O63" s="11"/>
      <c r="P63" s="11"/>
    </row>
    <row r="64" spans="1:17" ht="14.25" customHeight="1" x14ac:dyDescent="0.3">
      <c r="A64" s="2" t="s">
        <v>26</v>
      </c>
      <c r="B64" s="101" t="s">
        <v>77</v>
      </c>
      <c r="C64" s="98"/>
      <c r="D64" s="30">
        <v>1.66E-2</v>
      </c>
      <c r="E64" s="57">
        <f t="shared" si="2"/>
        <v>225.21402600000002</v>
      </c>
      <c r="F64" s="32"/>
      <c r="H64" s="38" t="s">
        <v>78</v>
      </c>
      <c r="I64" s="39">
        <v>5.96</v>
      </c>
      <c r="J64" s="11"/>
      <c r="K64" s="11"/>
      <c r="L64" s="11"/>
      <c r="M64" s="78"/>
      <c r="N64" s="11"/>
      <c r="O64" s="11"/>
      <c r="P64" s="11"/>
    </row>
    <row r="65" spans="1:16" ht="14.25" customHeight="1" x14ac:dyDescent="0.3">
      <c r="A65" s="2" t="s">
        <v>32</v>
      </c>
      <c r="B65" s="101" t="s">
        <v>79</v>
      </c>
      <c r="C65" s="98"/>
      <c r="D65" s="30">
        <v>2.0000000000000001E-4</v>
      </c>
      <c r="E65" s="57">
        <f t="shared" si="2"/>
        <v>2.7134220000000004</v>
      </c>
      <c r="F65" s="32"/>
      <c r="H65" s="38" t="s">
        <v>80</v>
      </c>
      <c r="I65" s="42">
        <v>1.4999999999999999E-2</v>
      </c>
      <c r="J65" s="11"/>
      <c r="K65" s="11"/>
      <c r="L65" s="11"/>
      <c r="M65" s="11"/>
      <c r="N65" s="11"/>
      <c r="O65" s="11"/>
      <c r="P65" s="11"/>
    </row>
    <row r="66" spans="1:16" ht="14.25" customHeight="1" x14ac:dyDescent="0.3">
      <c r="A66" s="2" t="s">
        <v>34</v>
      </c>
      <c r="B66" s="101" t="s">
        <v>81</v>
      </c>
      <c r="C66" s="98"/>
      <c r="D66" s="30">
        <v>2.7000000000000001E-3</v>
      </c>
      <c r="E66" s="57">
        <f t="shared" si="2"/>
        <v>36.631197</v>
      </c>
      <c r="F66" s="32"/>
      <c r="H66" s="38" t="s">
        <v>82</v>
      </c>
      <c r="I66" s="42">
        <v>1.8599999999999998E-2</v>
      </c>
      <c r="J66" s="11"/>
      <c r="K66" s="11"/>
      <c r="L66" s="11"/>
      <c r="M66" s="11"/>
      <c r="N66" s="78"/>
      <c r="O66" s="11"/>
      <c r="P66" s="11"/>
    </row>
    <row r="67" spans="1:16" ht="14.25" customHeight="1" x14ac:dyDescent="0.3">
      <c r="A67" s="2" t="s">
        <v>36</v>
      </c>
      <c r="B67" s="101" t="s">
        <v>83</v>
      </c>
      <c r="C67" s="98"/>
      <c r="D67" s="30">
        <v>2.8E-3</v>
      </c>
      <c r="E67" s="57">
        <f t="shared" si="2"/>
        <v>37.987908000000004</v>
      </c>
      <c r="F67" s="32"/>
      <c r="H67" s="245" t="s">
        <v>84</v>
      </c>
      <c r="I67" s="247">
        <v>0.02</v>
      </c>
      <c r="J67" s="11"/>
      <c r="K67" s="105"/>
      <c r="L67" s="11"/>
      <c r="M67" s="11"/>
      <c r="N67" s="11"/>
      <c r="O67" s="11"/>
      <c r="P67" s="11"/>
    </row>
    <row r="68" spans="1:16" ht="14.25" customHeight="1" x14ac:dyDescent="0.3">
      <c r="A68" s="2" t="s">
        <v>38</v>
      </c>
      <c r="B68" s="101" t="s">
        <v>20</v>
      </c>
      <c r="C68" s="98"/>
      <c r="D68" s="30">
        <v>0</v>
      </c>
      <c r="E68" s="57">
        <f t="shared" si="2"/>
        <v>0</v>
      </c>
      <c r="F68" s="32"/>
      <c r="H68" s="245"/>
      <c r="I68" s="247"/>
      <c r="J68" s="11"/>
      <c r="K68" s="11"/>
      <c r="L68" s="11"/>
      <c r="M68" s="11"/>
      <c r="N68" s="11"/>
      <c r="O68" s="11"/>
      <c r="P68" s="11"/>
    </row>
    <row r="69" spans="1:16" ht="14.25" customHeight="1" x14ac:dyDescent="0.3">
      <c r="B69" s="102" t="s">
        <v>164</v>
      </c>
      <c r="C69" s="96"/>
      <c r="D69" s="100">
        <v>0.1056</v>
      </c>
      <c r="E69" s="99">
        <f>SUM(E63:E68)</f>
        <v>428.72067599999997</v>
      </c>
      <c r="F69" s="32"/>
      <c r="H69" s="92"/>
      <c r="I69" s="42"/>
      <c r="J69" s="11"/>
      <c r="K69" s="11"/>
      <c r="L69" s="11"/>
      <c r="M69" s="11"/>
      <c r="N69" s="11"/>
      <c r="O69" s="11"/>
      <c r="P69" s="11"/>
    </row>
    <row r="70" spans="1:16" ht="14.25" customHeight="1" x14ac:dyDescent="0.3">
      <c r="B70" s="201" t="s">
        <v>165</v>
      </c>
      <c r="C70" s="202"/>
      <c r="D70" s="203"/>
      <c r="E70" s="57">
        <f>D43*E69</f>
        <v>84.887722777622386</v>
      </c>
      <c r="F70" s="32"/>
      <c r="H70" s="92"/>
      <c r="I70" s="42"/>
      <c r="J70" s="11"/>
      <c r="K70" s="11"/>
      <c r="L70" s="11"/>
      <c r="M70" s="11"/>
      <c r="N70" s="11"/>
      <c r="O70" s="11"/>
      <c r="P70" s="11"/>
    </row>
    <row r="71" spans="1:16" ht="14.25" customHeight="1" thickBot="1" x14ac:dyDescent="0.35">
      <c r="B71" s="210" t="s">
        <v>86</v>
      </c>
      <c r="C71" s="211"/>
      <c r="D71" s="211"/>
      <c r="E71" s="103">
        <f>SUM(E69:E70)</f>
        <v>513.60839877762237</v>
      </c>
      <c r="F71" s="29"/>
      <c r="H71" s="43"/>
      <c r="I71" s="11"/>
      <c r="J71" s="11"/>
      <c r="K71" s="11"/>
      <c r="L71" s="11"/>
      <c r="M71" s="11"/>
      <c r="N71" s="11"/>
      <c r="O71" s="11"/>
      <c r="P71" s="11"/>
    </row>
    <row r="72" spans="1:16" ht="12.75" customHeight="1" thickBot="1" x14ac:dyDescent="0.35">
      <c r="H72" s="43"/>
      <c r="I72" s="11"/>
      <c r="J72" s="11"/>
      <c r="K72" s="11"/>
      <c r="L72" s="11"/>
      <c r="M72" s="11"/>
      <c r="N72" s="11"/>
      <c r="O72" s="11"/>
      <c r="P72" s="11"/>
    </row>
    <row r="73" spans="1:16" ht="14.25" customHeight="1" thickBot="1" x14ac:dyDescent="0.35">
      <c r="B73" s="194" t="s">
        <v>61</v>
      </c>
      <c r="C73" s="195"/>
      <c r="D73" s="195"/>
      <c r="E73" s="196"/>
      <c r="F73" s="20"/>
      <c r="H73" s="34"/>
      <c r="I73" s="11"/>
      <c r="J73" s="11"/>
      <c r="K73" s="11"/>
      <c r="L73" s="11"/>
      <c r="M73" s="11"/>
      <c r="N73" s="11"/>
      <c r="O73" s="11"/>
      <c r="P73" s="11"/>
    </row>
    <row r="74" spans="1:16" ht="14.25" customHeight="1" x14ac:dyDescent="0.3">
      <c r="A74" s="2" t="s">
        <v>24</v>
      </c>
      <c r="B74" s="201" t="s">
        <v>104</v>
      </c>
      <c r="C74" s="202"/>
      <c r="D74" s="203"/>
      <c r="E74" s="57">
        <v>50</v>
      </c>
      <c r="F74" s="24"/>
      <c r="H74" s="11"/>
      <c r="I74" s="11"/>
      <c r="J74" s="11"/>
      <c r="K74" s="11"/>
      <c r="L74" s="11"/>
      <c r="M74" s="11"/>
      <c r="N74" s="11"/>
      <c r="O74" s="11"/>
      <c r="P74" s="11"/>
    </row>
    <row r="75" spans="1:16" ht="14.25" customHeight="1" x14ac:dyDescent="0.3">
      <c r="A75" s="2" t="s">
        <v>26</v>
      </c>
      <c r="B75" s="25" t="s">
        <v>96</v>
      </c>
      <c r="C75" s="26"/>
      <c r="D75" s="44"/>
      <c r="E75" s="57">
        <v>0</v>
      </c>
      <c r="F75" s="24"/>
      <c r="H75" s="11"/>
      <c r="I75" s="11"/>
      <c r="J75" s="11"/>
      <c r="K75" s="11"/>
      <c r="L75" s="11"/>
      <c r="M75" s="11"/>
      <c r="N75" s="11"/>
      <c r="O75" s="11"/>
      <c r="P75" s="11"/>
    </row>
    <row r="76" spans="1:16" ht="14.25" customHeight="1" x14ac:dyDescent="0.3">
      <c r="A76" s="2" t="s">
        <v>32</v>
      </c>
      <c r="B76" s="25" t="s">
        <v>62</v>
      </c>
      <c r="C76" s="26"/>
      <c r="D76" s="44"/>
      <c r="E76" s="57">
        <v>90</v>
      </c>
      <c r="F76" s="24"/>
      <c r="H76" s="11"/>
      <c r="I76" s="11"/>
      <c r="J76" s="11"/>
      <c r="K76" s="11"/>
      <c r="L76" s="11"/>
      <c r="M76" s="11"/>
      <c r="N76" s="11"/>
      <c r="O76" s="11"/>
      <c r="P76" s="11"/>
    </row>
    <row r="77" spans="1:16" ht="14.25" customHeight="1" x14ac:dyDescent="0.3">
      <c r="B77" s="25" t="s">
        <v>101</v>
      </c>
      <c r="C77" s="26"/>
      <c r="D77" s="44"/>
      <c r="E77" s="57">
        <v>0</v>
      </c>
      <c r="F77" s="24"/>
      <c r="H77" s="11"/>
      <c r="I77" s="11"/>
      <c r="J77" s="11"/>
      <c r="K77" s="11"/>
      <c r="L77" s="11"/>
      <c r="M77" s="11"/>
      <c r="N77" s="11"/>
      <c r="O77" s="11"/>
      <c r="P77" s="11"/>
    </row>
    <row r="78" spans="1:16" ht="14.25" customHeight="1" x14ac:dyDescent="0.3">
      <c r="B78" s="25" t="s">
        <v>97</v>
      </c>
      <c r="C78" s="26"/>
      <c r="D78" s="44"/>
      <c r="E78" s="57">
        <v>0</v>
      </c>
      <c r="F78" s="24"/>
      <c r="H78" s="11">
        <v>8.33</v>
      </c>
      <c r="I78" s="11"/>
      <c r="J78" s="11"/>
      <c r="K78" s="11"/>
      <c r="L78" s="11"/>
      <c r="M78" s="11"/>
      <c r="N78" s="11"/>
      <c r="O78" s="11"/>
      <c r="P78" s="11"/>
    </row>
    <row r="79" spans="1:16" ht="14.25" customHeight="1" x14ac:dyDescent="0.3">
      <c r="A79" s="2" t="s">
        <v>34</v>
      </c>
      <c r="B79" s="25" t="s">
        <v>166</v>
      </c>
      <c r="C79" s="26"/>
      <c r="D79" s="44"/>
      <c r="E79" s="57">
        <v>0</v>
      </c>
      <c r="F79" s="24"/>
      <c r="H79" s="11"/>
      <c r="I79" s="11"/>
      <c r="J79" s="11"/>
      <c r="L79" s="11"/>
      <c r="M79" s="11"/>
      <c r="N79" s="11"/>
      <c r="O79" s="11"/>
      <c r="P79" s="11"/>
    </row>
    <row r="80" spans="1:16" ht="14.25" customHeight="1" thickBot="1" x14ac:dyDescent="0.35">
      <c r="B80" s="191" t="s">
        <v>63</v>
      </c>
      <c r="C80" s="192"/>
      <c r="D80" s="193"/>
      <c r="E80" s="28">
        <f>SUM(E74:E79)</f>
        <v>140</v>
      </c>
      <c r="F80" s="29"/>
      <c r="H80" s="11"/>
      <c r="I80" s="11"/>
      <c r="J80" s="11"/>
      <c r="L80" s="11"/>
      <c r="M80" s="11"/>
      <c r="N80" s="11"/>
      <c r="O80" s="11"/>
      <c r="P80" s="11"/>
    </row>
    <row r="81" spans="1:16" ht="14.25" customHeight="1" thickBot="1" x14ac:dyDescent="0.35">
      <c r="H81" s="11"/>
      <c r="I81" s="11"/>
      <c r="J81" s="11"/>
      <c r="L81" s="11"/>
      <c r="M81" s="11"/>
      <c r="N81" s="11"/>
      <c r="O81" s="11"/>
      <c r="P81" s="11"/>
    </row>
    <row r="82" spans="1:16" ht="14.25" customHeight="1" thickBot="1" x14ac:dyDescent="0.35">
      <c r="B82" s="194" t="s">
        <v>64</v>
      </c>
      <c r="C82" s="195"/>
      <c r="D82" s="195"/>
      <c r="E82" s="196"/>
      <c r="F82" s="20"/>
      <c r="H82" s="11"/>
      <c r="I82" s="11"/>
      <c r="J82" s="11"/>
      <c r="L82" s="11"/>
      <c r="M82" s="11"/>
      <c r="N82" s="11"/>
      <c r="O82" s="11"/>
      <c r="P82" s="11"/>
    </row>
    <row r="83" spans="1:16" ht="14.25" customHeight="1" x14ac:dyDescent="0.3">
      <c r="A83" s="2" t="s">
        <v>24</v>
      </c>
      <c r="B83" s="45" t="s">
        <v>65</v>
      </c>
      <c r="C83" s="46"/>
      <c r="D83" s="35">
        <f>'1'!D83</f>
        <v>0</v>
      </c>
      <c r="E83" s="57">
        <f>D83*(E80+E71+E59+E50+E25)</f>
        <v>0</v>
      </c>
      <c r="F83" s="32"/>
      <c r="H83" s="11"/>
      <c r="I83" s="161"/>
      <c r="J83" s="11"/>
      <c r="K83" s="54"/>
      <c r="L83" s="11"/>
      <c r="M83" s="11"/>
      <c r="N83" s="11"/>
      <c r="O83" s="34"/>
      <c r="P83" s="11"/>
    </row>
    <row r="84" spans="1:16" ht="14.25" customHeight="1" x14ac:dyDescent="0.3">
      <c r="A84" s="2" t="s">
        <v>26</v>
      </c>
      <c r="B84" s="21" t="s">
        <v>66</v>
      </c>
      <c r="C84" s="22"/>
      <c r="D84" s="35">
        <f>'1'!D84</f>
        <v>-1.3677647119945452E-2</v>
      </c>
      <c r="E84" s="57">
        <f>D84*(E83+E80+E71+E59+E50+E25)</f>
        <v>-299.39876556145214</v>
      </c>
      <c r="F84" s="32"/>
      <c r="H84" s="34"/>
      <c r="I84" s="34"/>
      <c r="J84" s="11"/>
      <c r="K84" s="162"/>
      <c r="L84" s="11"/>
      <c r="M84" s="11"/>
      <c r="N84" s="11"/>
      <c r="O84" s="11"/>
      <c r="P84" s="11"/>
    </row>
    <row r="85" spans="1:16" ht="14.25" customHeight="1" x14ac:dyDescent="0.3">
      <c r="B85" s="21" t="s">
        <v>67</v>
      </c>
      <c r="C85" s="22"/>
      <c r="D85" s="30">
        <v>6.5000000000000006E-3</v>
      </c>
      <c r="E85" s="57">
        <f>D85*(E84+E83+E80+E71+E59+E50+E25)</f>
        <v>140.33656520043081</v>
      </c>
      <c r="F85" s="32"/>
      <c r="H85" s="34"/>
      <c r="I85" s="34"/>
      <c r="J85" s="11"/>
      <c r="L85" s="11"/>
      <c r="M85" s="11"/>
      <c r="N85" s="11"/>
      <c r="O85" s="34"/>
      <c r="P85" s="11"/>
    </row>
    <row r="86" spans="1:16" ht="14.25" customHeight="1" x14ac:dyDescent="0.3">
      <c r="B86" s="47" t="s">
        <v>68</v>
      </c>
      <c r="C86" s="48"/>
      <c r="D86" s="30">
        <v>0.03</v>
      </c>
      <c r="E86" s="57">
        <f>D86*(E83+E85+E84+E80+E71+E59+E50+E25)</f>
        <v>651.91732095800126</v>
      </c>
      <c r="F86" s="32"/>
      <c r="H86" s="11"/>
      <c r="I86" s="11"/>
      <c r="J86" s="11"/>
      <c r="L86" s="11"/>
      <c r="M86" s="11"/>
      <c r="N86" s="11"/>
      <c r="O86" s="34"/>
      <c r="P86" s="11"/>
    </row>
    <row r="87" spans="1:16" ht="14.25" customHeight="1" x14ac:dyDescent="0.3">
      <c r="B87" s="21" t="s">
        <v>69</v>
      </c>
      <c r="C87" s="22"/>
      <c r="D87" s="35">
        <v>0.05</v>
      </c>
      <c r="E87" s="57">
        <f>D87*(E84+E83+E86+E85+E80+E71+E59+E50+E25)</f>
        <v>1119.1247343112354</v>
      </c>
      <c r="F87" s="32"/>
      <c r="H87" s="11"/>
      <c r="I87" s="11"/>
      <c r="J87" s="11"/>
      <c r="L87" s="11"/>
      <c r="M87" s="11"/>
      <c r="N87" s="11"/>
      <c r="O87" s="34"/>
      <c r="P87" s="11"/>
    </row>
    <row r="88" spans="1:16" ht="14.25" customHeight="1" x14ac:dyDescent="0.3">
      <c r="B88" s="25" t="s">
        <v>87</v>
      </c>
      <c r="C88" s="26"/>
      <c r="D88" s="35">
        <v>3.5999999999999997E-2</v>
      </c>
      <c r="E88" s="57">
        <f>D88*(E84+E85+E87+E86+E83+E71+E59+E50+E25)</f>
        <v>841.01829913929396</v>
      </c>
      <c r="F88" s="32"/>
      <c r="H88" s="11"/>
      <c r="I88" s="11"/>
      <c r="J88" s="11"/>
      <c r="L88" s="11"/>
      <c r="M88" s="11"/>
      <c r="N88" s="11"/>
      <c r="O88" s="34"/>
      <c r="P88" s="11"/>
    </row>
    <row r="89" spans="1:16" ht="14.25" customHeight="1" thickBot="1" x14ac:dyDescent="0.35">
      <c r="B89" s="191" t="s">
        <v>70</v>
      </c>
      <c r="C89" s="192"/>
      <c r="D89" s="193"/>
      <c r="E89" s="49">
        <f>SUM(E83:E88)</f>
        <v>2452.9981540475092</v>
      </c>
      <c r="F89" s="29"/>
      <c r="H89" s="11"/>
      <c r="I89" s="11"/>
      <c r="J89" s="11"/>
      <c r="L89" s="11"/>
      <c r="M89" s="11"/>
      <c r="N89" s="11"/>
      <c r="O89" s="34"/>
      <c r="P89" s="11"/>
    </row>
    <row r="90" spans="1:16" ht="14.25" customHeight="1" thickBot="1" x14ac:dyDescent="0.35">
      <c r="H90" s="11"/>
      <c r="I90" s="11"/>
      <c r="L90" s="11"/>
      <c r="M90" s="11"/>
      <c r="N90" s="11"/>
      <c r="O90" s="11"/>
      <c r="P90" s="11"/>
    </row>
    <row r="91" spans="1:16" ht="14.25" customHeight="1" thickBot="1" x14ac:dyDescent="0.35">
      <c r="B91" s="197" t="s">
        <v>71</v>
      </c>
      <c r="C91" s="198"/>
      <c r="D91" s="198"/>
      <c r="E91" s="50">
        <f>SUM(E89+E80+E71+E59+E50+E25)</f>
        <v>24342.63771967524</v>
      </c>
      <c r="F91" s="29"/>
      <c r="H91" s="54"/>
      <c r="J91" s="11"/>
      <c r="L91" s="11"/>
      <c r="M91" s="11"/>
      <c r="N91" s="11"/>
      <c r="O91" s="11"/>
      <c r="P91" s="11"/>
    </row>
    <row r="92" spans="1:16" ht="14.25" customHeight="1" thickBot="1" x14ac:dyDescent="0.35">
      <c r="H92" s="11"/>
      <c r="I92" s="11"/>
    </row>
    <row r="93" spans="1:16" ht="14.25" customHeight="1" thickBot="1" x14ac:dyDescent="0.35">
      <c r="B93" s="199" t="s">
        <v>72</v>
      </c>
      <c r="C93" s="200"/>
      <c r="D93" s="200"/>
      <c r="E93" s="51">
        <f>E91*E13</f>
        <v>48685.27543935048</v>
      </c>
      <c r="F93" s="29"/>
      <c r="H93" s="54"/>
    </row>
    <row r="94" spans="1:16" ht="14.25" customHeight="1" x14ac:dyDescent="0.3">
      <c r="B94" s="10"/>
      <c r="C94" s="10"/>
      <c r="D94" s="52"/>
      <c r="E94" s="9"/>
      <c r="F94" s="53"/>
      <c r="G94" s="53"/>
      <c r="H94" s="53"/>
    </row>
    <row r="95" spans="1:16" ht="14.25" customHeight="1" x14ac:dyDescent="0.3">
      <c r="M95" s="54"/>
    </row>
  </sheetData>
  <mergeCells count="49">
    <mergeCell ref="B93:D93"/>
    <mergeCell ref="B73:E73"/>
    <mergeCell ref="B74:D74"/>
    <mergeCell ref="B80:D80"/>
    <mergeCell ref="B82:E82"/>
    <mergeCell ref="B89:D89"/>
    <mergeCell ref="B91:D91"/>
    <mergeCell ref="B71:D71"/>
    <mergeCell ref="H53:H54"/>
    <mergeCell ref="I53:I54"/>
    <mergeCell ref="H55:H57"/>
    <mergeCell ref="I55:I57"/>
    <mergeCell ref="B59:D59"/>
    <mergeCell ref="B61:E61"/>
    <mergeCell ref="B62:E62"/>
    <mergeCell ref="B63:C63"/>
    <mergeCell ref="H67:H68"/>
    <mergeCell ref="I67:I68"/>
    <mergeCell ref="B70:D70"/>
    <mergeCell ref="B52:E52"/>
    <mergeCell ref="B28:E28"/>
    <mergeCell ref="B34:E34"/>
    <mergeCell ref="H42:H44"/>
    <mergeCell ref="I42:I44"/>
    <mergeCell ref="B43:C43"/>
    <mergeCell ref="B44:E44"/>
    <mergeCell ref="B45:D45"/>
    <mergeCell ref="B46:D46"/>
    <mergeCell ref="B48:D48"/>
    <mergeCell ref="B49:D49"/>
    <mergeCell ref="B50:D50"/>
    <mergeCell ref="B27:E27"/>
    <mergeCell ref="B10:E10"/>
    <mergeCell ref="B11:C11"/>
    <mergeCell ref="B12:D12"/>
    <mergeCell ref="B13:C13"/>
    <mergeCell ref="B15:E15"/>
    <mergeCell ref="C16:D16"/>
    <mergeCell ref="C17:D17"/>
    <mergeCell ref="C18:D18"/>
    <mergeCell ref="C19:D19"/>
    <mergeCell ref="B21:E21"/>
    <mergeCell ref="B25:D25"/>
    <mergeCell ref="B8:D8"/>
    <mergeCell ref="B2:E2"/>
    <mergeCell ref="B4:E4"/>
    <mergeCell ref="B5:D5"/>
    <mergeCell ref="B6:D6"/>
    <mergeCell ref="B7:D7"/>
  </mergeCells>
  <dataValidations count="10">
    <dataValidation allowBlank="1" showInputMessage="1" showErrorMessage="1" errorTitle="Valor inválido" error="Mínimo aceito = 2%_x000a_Máximo aceito = 5%" sqref="D88" xr:uid="{7ED6E93E-5D01-47E5-8FB9-E3A1A61FCD0E}"/>
    <dataValidation operator="lessThanOrEqual" showInputMessage="1" errorTitle="Valor inválido" error="Máximo aceito = 5%" sqref="D83" xr:uid="{2255C4B7-F57B-4D23-BECC-74F4C8B03F74}"/>
    <dataValidation type="decimal" allowBlank="1" showInputMessage="1" showErrorMessage="1" errorTitle="Valor inválido" error="Mínimo aceito = 2%_x000a_Máximo aceito = 5%" sqref="D87" xr:uid="{694D2BB8-D14E-42F6-9C26-78303E33BA7C}">
      <formula1>0.02</formula1>
      <formula2>0.05</formula2>
    </dataValidation>
    <dataValidation type="decimal" operator="lessThanOrEqual" allowBlank="1" showInputMessage="1" showErrorMessage="1" errorTitle="Valor inválido" error="Máximo aceito = 6%" sqref="D41 D37" xr:uid="{1014D331-2585-4D32-9E37-1E904907D298}">
      <formula1>0.06</formula1>
    </dataValidation>
    <dataValidation type="decimal" operator="lessThanOrEqual" allowBlank="1" showInputMessage="1" showErrorMessage="1" errorTitle="Valor inválido" error="Deve ser igual ou inferior a 2,00% (Ref.: IBGE)" sqref="I67" xr:uid="{2BB2FE63-A6B6-4CCB-96D7-5DCE10866E78}">
      <formula1>0.02</formula1>
    </dataValidation>
    <dataValidation type="decimal" operator="lessThanOrEqual" allowBlank="1" showInputMessage="1" showErrorMessage="1" errorTitle="Valor inválido" error="Deve ser igual ou inferior a 8,00% (Ref.: IBGE)" sqref="I66" xr:uid="{91D66F00-6B4A-4067-B355-2C2E46A5BD9B}">
      <formula1>0.08</formula1>
    </dataValidation>
    <dataValidation type="decimal" operator="lessThanOrEqual" allowBlank="1" showInputMessage="1" showErrorMessage="1" errorTitle="Valor inválido" error="Deve ser igual ou inferior a 1,50% (Ref.: IBGE)" sqref="I65" xr:uid="{4103C3B0-3DD4-48CC-BECD-AAC66080571C}">
      <formula1>0.015</formula1>
    </dataValidation>
    <dataValidation type="decimal" operator="lessThanOrEqual" allowBlank="1" showInputMessage="1" showErrorMessage="1" errorTitle="Valor inválido" error="Deve ser igual ou inferior a 5,55 (Ref.: TCU)" sqref="I53" xr:uid="{9611EB1F-0739-4E85-9199-65152309B591}">
      <formula1>0.0555</formula1>
    </dataValidation>
    <dataValidation type="decimal" operator="lessThanOrEqual" allowBlank="1" showInputMessage="1" showErrorMessage="1" errorTitle="Valor inválido" error="Deve ser igual ou inferior a 5,96 (Ref.: IBGE)" sqref="I64" xr:uid="{2CB62657-CD7D-40C6-9A2A-B52F0EDFE468}">
      <formula1>5.96</formula1>
    </dataValidation>
    <dataValidation type="list" allowBlank="1" showInputMessage="1" showErrorMessage="1" sqref="H13" xr:uid="{FA2ECF9A-43D4-4067-A582-3835B11A4B4B}">
      <formula1>$J$2:$J$3</formula1>
    </dataValidation>
  </dataValidations>
  <pageMargins left="0.511811024" right="0.511811024" top="0.78740157499999996" bottom="0.78740157499999996" header="0.31496062000000002" footer="0.31496062000000002"/>
  <pageSetup paperSize="9" scale="56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4C615-7B96-476C-B7F2-6E7C977B0C15}">
  <sheetPr codeName="Planilha6">
    <pageSetUpPr fitToPage="1"/>
  </sheetPr>
  <dimension ref="A1:O95"/>
  <sheetViews>
    <sheetView topLeftCell="A69" zoomScaleNormal="100" workbookViewId="0">
      <selection activeCell="J55" sqref="J55"/>
    </sheetView>
  </sheetViews>
  <sheetFormatPr defaultColWidth="9.109375" defaultRowHeight="11.4" x14ac:dyDescent="0.3"/>
  <cols>
    <col min="1" max="1" width="1.6640625" style="2" customWidth="1"/>
    <col min="2" max="2" width="13.6640625" style="1" customWidth="1"/>
    <col min="3" max="3" width="59.44140625" style="1" customWidth="1"/>
    <col min="4" max="4" width="12.109375" style="1" customWidth="1"/>
    <col min="5" max="5" width="15.44140625" style="1" bestFit="1" customWidth="1"/>
    <col min="6" max="6" width="1.6640625" style="1" customWidth="1"/>
    <col min="7" max="7" width="1.6640625" style="2" customWidth="1"/>
    <col min="8" max="8" width="18.33203125" style="2" customWidth="1"/>
    <col min="9" max="9" width="27.109375" style="2" customWidth="1"/>
    <col min="10" max="10" width="9.109375" style="2" customWidth="1"/>
    <col min="11" max="11" width="18.5546875" style="2" hidden="1" customWidth="1"/>
    <col min="12" max="12" width="13.109375" style="2" customWidth="1"/>
    <col min="13" max="17" width="9.109375" style="2" customWidth="1"/>
    <col min="18" max="16384" width="9.109375" style="2"/>
  </cols>
  <sheetData>
    <row r="1" spans="2:14" ht="14.25" customHeight="1" thickBot="1" x14ac:dyDescent="0.35"/>
    <row r="2" spans="2:14" s="1" customFormat="1" ht="22.5" customHeight="1" thickBot="1" x14ac:dyDescent="0.35">
      <c r="B2" s="239" t="s">
        <v>73</v>
      </c>
      <c r="C2" s="240"/>
      <c r="D2" s="240"/>
      <c r="E2" s="241"/>
      <c r="G2" s="3"/>
    </row>
    <row r="3" spans="2:14" ht="14.25" customHeight="1" thickBot="1" x14ac:dyDescent="0.35"/>
    <row r="4" spans="2:14" ht="14.25" customHeight="1" x14ac:dyDescent="0.3">
      <c r="B4" s="218" t="s">
        <v>2</v>
      </c>
      <c r="C4" s="219"/>
      <c r="D4" s="219"/>
      <c r="E4" s="220"/>
    </row>
    <row r="5" spans="2:14" ht="14.25" customHeight="1" x14ac:dyDescent="0.3">
      <c r="B5" s="242" t="s">
        <v>3</v>
      </c>
      <c r="C5" s="243"/>
      <c r="D5" s="244"/>
      <c r="E5" s="4"/>
    </row>
    <row r="6" spans="2:14" ht="14.25" customHeight="1" x14ac:dyDescent="0.3">
      <c r="B6" s="201" t="s">
        <v>4</v>
      </c>
      <c r="C6" s="202"/>
      <c r="D6" s="203"/>
      <c r="E6" s="5" t="s">
        <v>5</v>
      </c>
    </row>
    <row r="7" spans="2:14" ht="14.25" customHeight="1" x14ac:dyDescent="0.3">
      <c r="B7" s="201" t="s">
        <v>6</v>
      </c>
      <c r="C7" s="202"/>
      <c r="D7" s="203"/>
      <c r="E7" s="5" t="s">
        <v>148</v>
      </c>
    </row>
    <row r="8" spans="2:14" ht="14.25" customHeight="1" thickBot="1" x14ac:dyDescent="0.35">
      <c r="B8" s="236" t="s">
        <v>7</v>
      </c>
      <c r="C8" s="237"/>
      <c r="D8" s="238"/>
      <c r="E8" s="6">
        <v>12</v>
      </c>
    </row>
    <row r="9" spans="2:14" ht="14.25" customHeight="1" thickBot="1" x14ac:dyDescent="0.35"/>
    <row r="10" spans="2:14" ht="14.25" customHeight="1" thickBot="1" x14ac:dyDescent="0.35">
      <c r="B10" s="218" t="s">
        <v>8</v>
      </c>
      <c r="C10" s="219"/>
      <c r="D10" s="219"/>
      <c r="E10" s="220"/>
    </row>
    <row r="11" spans="2:14" s="10" customFormat="1" ht="33" customHeight="1" x14ac:dyDescent="0.3">
      <c r="B11" s="221" t="s">
        <v>9</v>
      </c>
      <c r="C11" s="222"/>
      <c r="D11" s="7" t="s">
        <v>10</v>
      </c>
      <c r="E11" s="8" t="s">
        <v>11</v>
      </c>
      <c r="F11" s="9"/>
      <c r="I11" s="11"/>
      <c r="J11" s="11"/>
      <c r="K11" s="11">
        <f>'1'!E91</f>
        <v>23924.14823739705</v>
      </c>
      <c r="L11" s="11"/>
      <c r="M11" s="11"/>
      <c r="N11" s="11"/>
    </row>
    <row r="12" spans="2:14" s="10" customFormat="1" ht="12" x14ac:dyDescent="0.3">
      <c r="B12" s="234" t="s">
        <v>91</v>
      </c>
      <c r="C12" s="235"/>
      <c r="D12" s="235"/>
      <c r="E12" s="61" t="s">
        <v>92</v>
      </c>
      <c r="F12" s="9"/>
      <c r="I12" s="11"/>
      <c r="J12" s="11"/>
      <c r="K12" s="11"/>
      <c r="L12" s="11"/>
      <c r="M12" s="11"/>
      <c r="N12" s="11"/>
    </row>
    <row r="13" spans="2:14" ht="14.25" customHeight="1" thickBot="1" x14ac:dyDescent="0.35">
      <c r="B13" s="223" t="s">
        <v>226</v>
      </c>
      <c r="C13" s="224"/>
      <c r="D13" s="12" t="s">
        <v>12</v>
      </c>
      <c r="E13" s="13">
        <v>2</v>
      </c>
      <c r="F13" s="14"/>
      <c r="H13" s="15"/>
      <c r="I13" s="11"/>
      <c r="J13" s="11"/>
      <c r="K13" s="11"/>
      <c r="L13" s="11"/>
      <c r="M13" s="11"/>
      <c r="N13" s="11"/>
    </row>
    <row r="14" spans="2:14" ht="14.25" customHeight="1" thickBot="1" x14ac:dyDescent="0.35">
      <c r="H14" s="11"/>
      <c r="I14" s="11"/>
      <c r="J14" s="11"/>
      <c r="K14" s="11"/>
      <c r="L14" s="11"/>
      <c r="M14" s="11"/>
      <c r="N14" s="11"/>
    </row>
    <row r="15" spans="2:14" ht="14.25" customHeight="1" x14ac:dyDescent="0.3">
      <c r="B15" s="218" t="s">
        <v>13</v>
      </c>
      <c r="C15" s="219"/>
      <c r="D15" s="219"/>
      <c r="E15" s="220"/>
      <c r="H15" s="11"/>
      <c r="I15" s="11"/>
      <c r="J15" s="11"/>
      <c r="K15" s="11"/>
      <c r="L15" s="11"/>
      <c r="M15" s="11"/>
      <c r="N15" s="11"/>
    </row>
    <row r="16" spans="2:14" ht="14.25" customHeight="1" x14ac:dyDescent="0.3">
      <c r="B16" s="16">
        <v>1</v>
      </c>
      <c r="C16" s="225" t="s">
        <v>14</v>
      </c>
      <c r="D16" s="226"/>
      <c r="E16" s="17"/>
      <c r="H16" s="11"/>
      <c r="I16" s="11"/>
      <c r="J16" s="11"/>
      <c r="K16" s="11"/>
      <c r="L16" s="11"/>
      <c r="M16" s="11"/>
      <c r="N16" s="11"/>
    </row>
    <row r="17" spans="1:14" ht="14.25" customHeight="1" x14ac:dyDescent="0.3">
      <c r="B17" s="18">
        <v>2</v>
      </c>
      <c r="C17" s="227" t="s">
        <v>15</v>
      </c>
      <c r="D17" s="228"/>
      <c r="E17" s="17"/>
      <c r="H17" s="11"/>
      <c r="I17" s="11"/>
      <c r="J17" s="11"/>
      <c r="K17" s="11"/>
      <c r="L17" s="11"/>
      <c r="M17" s="11"/>
      <c r="N17" s="11"/>
    </row>
    <row r="18" spans="1:14" ht="14.25" customHeight="1" x14ac:dyDescent="0.3">
      <c r="B18" s="18">
        <v>3</v>
      </c>
      <c r="C18" s="227" t="s">
        <v>16</v>
      </c>
      <c r="D18" s="228"/>
      <c r="E18" s="17"/>
      <c r="H18" s="11"/>
      <c r="I18" s="11"/>
      <c r="J18" s="11"/>
      <c r="K18" s="11"/>
      <c r="L18" s="11"/>
      <c r="M18" s="11"/>
      <c r="N18" s="11"/>
    </row>
    <row r="19" spans="1:14" ht="14.25" customHeight="1" thickBot="1" x14ac:dyDescent="0.35">
      <c r="B19" s="19">
        <v>4</v>
      </c>
      <c r="C19" s="229" t="s">
        <v>17</v>
      </c>
      <c r="D19" s="230"/>
      <c r="E19" s="55"/>
      <c r="H19" s="11"/>
      <c r="I19" s="11"/>
      <c r="J19" s="11"/>
      <c r="K19" s="11"/>
      <c r="L19" s="11"/>
      <c r="M19" s="11"/>
      <c r="N19" s="11"/>
    </row>
    <row r="20" spans="1:14" ht="14.25" customHeight="1" thickBot="1" x14ac:dyDescent="0.35">
      <c r="H20" s="11"/>
      <c r="I20" s="11"/>
      <c r="J20" s="11"/>
      <c r="K20" s="11"/>
      <c r="L20" s="11"/>
      <c r="M20" s="11"/>
      <c r="N20" s="11"/>
    </row>
    <row r="21" spans="1:14" ht="14.25" customHeight="1" x14ac:dyDescent="0.3">
      <c r="B21" s="231" t="s">
        <v>18</v>
      </c>
      <c r="C21" s="232"/>
      <c r="D21" s="232"/>
      <c r="E21" s="233"/>
      <c r="F21" s="20"/>
      <c r="H21" s="11"/>
      <c r="I21" s="11"/>
      <c r="J21" s="11"/>
      <c r="K21" s="11">
        <f>'11'!E91</f>
        <v>16655.190792319532</v>
      </c>
      <c r="L21" s="11"/>
      <c r="M21" s="11"/>
      <c r="N21" s="11"/>
    </row>
    <row r="22" spans="1:14" ht="14.25" customHeight="1" x14ac:dyDescent="0.3">
      <c r="B22" s="21" t="s">
        <v>19</v>
      </c>
      <c r="C22" s="22"/>
      <c r="D22" s="23"/>
      <c r="E22" s="17">
        <v>13432.56</v>
      </c>
      <c r="F22" s="24"/>
      <c r="H22" s="34"/>
      <c r="I22" s="11"/>
      <c r="J22" s="11"/>
      <c r="K22" s="11"/>
      <c r="L22" s="11"/>
      <c r="M22" s="11"/>
      <c r="N22" s="11"/>
    </row>
    <row r="23" spans="1:14" ht="14.25" customHeight="1" x14ac:dyDescent="0.3">
      <c r="B23" s="25" t="s">
        <v>74</v>
      </c>
      <c r="C23" s="26"/>
      <c r="D23" s="27"/>
      <c r="E23" s="17"/>
      <c r="F23" s="24"/>
      <c r="H23" s="11"/>
      <c r="I23" s="11"/>
      <c r="J23" s="11"/>
      <c r="K23" s="11"/>
      <c r="L23" s="11"/>
      <c r="M23" s="11"/>
      <c r="N23" s="11"/>
    </row>
    <row r="24" spans="1:14" ht="14.25" customHeight="1" x14ac:dyDescent="0.3">
      <c r="B24" s="25" t="s">
        <v>20</v>
      </c>
      <c r="C24" s="26"/>
      <c r="D24" s="27"/>
      <c r="E24" s="17"/>
      <c r="F24" s="24"/>
      <c r="H24" s="11"/>
      <c r="I24" s="11"/>
      <c r="J24" s="11"/>
      <c r="K24" s="11"/>
      <c r="L24" s="11"/>
      <c r="M24" s="11"/>
      <c r="N24" s="11"/>
    </row>
    <row r="25" spans="1:14" ht="14.25" customHeight="1" thickBot="1" x14ac:dyDescent="0.35">
      <c r="B25" s="191" t="s">
        <v>21</v>
      </c>
      <c r="C25" s="192"/>
      <c r="D25" s="193"/>
      <c r="E25" s="28">
        <v>13432.56</v>
      </c>
      <c r="F25" s="29"/>
      <c r="H25" s="11"/>
      <c r="I25" s="11"/>
      <c r="J25" s="11"/>
      <c r="K25" s="11"/>
      <c r="L25" s="11"/>
      <c r="M25" s="11"/>
      <c r="N25" s="11"/>
    </row>
    <row r="26" spans="1:14" ht="14.25" customHeight="1" thickBot="1" x14ac:dyDescent="0.35">
      <c r="H26" s="11"/>
      <c r="I26" s="11"/>
      <c r="J26" s="11"/>
      <c r="K26" s="11"/>
      <c r="L26" s="11"/>
      <c r="M26" s="11"/>
      <c r="N26" s="11"/>
    </row>
    <row r="27" spans="1:14" ht="14.25" customHeight="1" thickBot="1" x14ac:dyDescent="0.35">
      <c r="B27" s="194" t="s">
        <v>22</v>
      </c>
      <c r="C27" s="195"/>
      <c r="D27" s="195"/>
      <c r="E27" s="196"/>
      <c r="F27" s="20"/>
      <c r="H27" s="11"/>
      <c r="I27" s="11"/>
      <c r="J27" s="11"/>
      <c r="K27" s="11"/>
      <c r="L27" s="11"/>
      <c r="M27" s="11"/>
      <c r="N27" s="11"/>
    </row>
    <row r="28" spans="1:14" ht="14.25" customHeight="1" x14ac:dyDescent="0.3">
      <c r="B28" s="212" t="s">
        <v>23</v>
      </c>
      <c r="C28" s="213"/>
      <c r="D28" s="213"/>
      <c r="E28" s="214"/>
      <c r="H28" s="11"/>
      <c r="I28" s="11"/>
      <c r="J28" s="11"/>
      <c r="K28" s="11"/>
      <c r="L28" s="11"/>
      <c r="M28" s="11"/>
      <c r="N28" s="11"/>
    </row>
    <row r="29" spans="1:14" ht="14.25" customHeight="1" x14ac:dyDescent="0.3">
      <c r="A29" s="2" t="s">
        <v>24</v>
      </c>
      <c r="B29" s="21" t="s">
        <v>25</v>
      </c>
      <c r="C29" s="22"/>
      <c r="D29" s="30">
        <v>8.3299999999999999E-2</v>
      </c>
      <c r="E29" s="57">
        <f>D29*E22</f>
        <v>1118.9322479999998</v>
      </c>
      <c r="F29" s="32"/>
      <c r="H29" s="11"/>
      <c r="I29" s="11"/>
      <c r="J29" s="11"/>
      <c r="K29" s="11"/>
      <c r="L29" s="11"/>
      <c r="M29" s="11"/>
      <c r="N29" s="11"/>
    </row>
    <row r="30" spans="1:14" ht="14.25" customHeight="1" x14ac:dyDescent="0.3">
      <c r="A30" s="2" t="s">
        <v>26</v>
      </c>
      <c r="B30" s="21" t="s">
        <v>27</v>
      </c>
      <c r="C30" s="22"/>
      <c r="D30" s="30">
        <v>0.121</v>
      </c>
      <c r="E30" s="57">
        <f>D30*E25</f>
        <v>1625.3397599999998</v>
      </c>
      <c r="F30" s="32"/>
      <c r="H30" s="11"/>
      <c r="I30" s="11"/>
      <c r="J30" s="11"/>
      <c r="K30" s="11"/>
      <c r="L30" s="11"/>
      <c r="M30" s="11"/>
      <c r="N30" s="11"/>
    </row>
    <row r="31" spans="1:14" ht="14.25" customHeight="1" thickBot="1" x14ac:dyDescent="0.35">
      <c r="B31" s="93" t="s">
        <v>163</v>
      </c>
      <c r="C31" s="94"/>
      <c r="D31" s="163">
        <f>D29+D30</f>
        <v>0.20429999999999998</v>
      </c>
      <c r="E31" s="33">
        <f>SUM(E29:E30)</f>
        <v>2744.2720079999999</v>
      </c>
      <c r="F31" s="29"/>
      <c r="H31" s="11"/>
      <c r="I31" s="11"/>
      <c r="J31" s="11"/>
      <c r="K31" s="11"/>
      <c r="L31" s="11"/>
      <c r="M31" s="11"/>
      <c r="N31" s="11"/>
    </row>
    <row r="32" spans="1:14" ht="14.25" customHeight="1" x14ac:dyDescent="0.3">
      <c r="B32" s="21" t="s">
        <v>250</v>
      </c>
      <c r="C32" s="22"/>
      <c r="D32" s="95">
        <f>D43*D31</f>
        <v>4.0451890319999996E-2</v>
      </c>
      <c r="E32" s="57">
        <f>D32*E25</f>
        <v>543.37244383681912</v>
      </c>
      <c r="F32" s="29"/>
      <c r="H32" s="11"/>
      <c r="I32" s="11"/>
      <c r="J32" s="11"/>
      <c r="K32" s="11"/>
      <c r="L32" s="11"/>
      <c r="M32" s="11"/>
      <c r="N32" s="11"/>
    </row>
    <row r="33" spans="1:14" ht="14.25" customHeight="1" thickBot="1" x14ac:dyDescent="0.35">
      <c r="B33" s="93" t="s">
        <v>28</v>
      </c>
      <c r="C33" s="94"/>
      <c r="D33" s="97">
        <f>SUM(D31+D32)</f>
        <v>0.24475189031999997</v>
      </c>
      <c r="E33" s="33">
        <f>SUM(E31:E32)</f>
        <v>3287.6444518368189</v>
      </c>
      <c r="F33" s="29"/>
      <c r="H33" s="34"/>
      <c r="I33" s="11"/>
      <c r="J33" s="11"/>
      <c r="K33" s="11"/>
      <c r="L33" s="11"/>
      <c r="M33" s="11"/>
      <c r="N33" s="11"/>
    </row>
    <row r="34" spans="1:14" ht="14.25" customHeight="1" x14ac:dyDescent="0.3">
      <c r="B34" s="212" t="s">
        <v>29</v>
      </c>
      <c r="C34" s="213"/>
      <c r="D34" s="213"/>
      <c r="E34" s="214"/>
      <c r="H34" s="11"/>
      <c r="I34" s="11"/>
      <c r="J34" s="11"/>
      <c r="K34" s="11"/>
      <c r="L34" s="11"/>
      <c r="M34" s="11"/>
      <c r="N34" s="11"/>
    </row>
    <row r="35" spans="1:14" ht="14.25" customHeight="1" x14ac:dyDescent="0.3">
      <c r="A35" s="2" t="s">
        <v>24</v>
      </c>
      <c r="B35" s="21" t="s">
        <v>30</v>
      </c>
      <c r="C35" s="22"/>
      <c r="D35" s="30">
        <v>0.05</v>
      </c>
      <c r="E35" s="57">
        <f>D35*E$25</f>
        <v>671.62800000000004</v>
      </c>
      <c r="F35" s="32"/>
      <c r="H35" s="11"/>
      <c r="I35" s="11"/>
      <c r="J35" s="11"/>
      <c r="K35" s="11"/>
      <c r="L35" s="11"/>
      <c r="M35" s="11"/>
      <c r="N35" s="11"/>
    </row>
    <row r="36" spans="1:14" ht="14.25" customHeight="1" x14ac:dyDescent="0.3">
      <c r="A36" s="2" t="s">
        <v>26</v>
      </c>
      <c r="B36" s="21" t="s">
        <v>31</v>
      </c>
      <c r="C36" s="22"/>
      <c r="D36" s="30">
        <v>2.5002400000000001E-2</v>
      </c>
      <c r="E36" s="57">
        <f>ROUND(D36*E$25,2)</f>
        <v>335.85</v>
      </c>
      <c r="F36" s="32"/>
      <c r="H36" s="34"/>
      <c r="I36" s="11"/>
      <c r="J36" s="11"/>
      <c r="K36" s="11"/>
      <c r="L36" s="11"/>
      <c r="M36" s="11"/>
      <c r="N36" s="11"/>
    </row>
    <row r="37" spans="1:14" ht="14.25" customHeight="1" x14ac:dyDescent="0.3">
      <c r="A37" s="2" t="s">
        <v>32</v>
      </c>
      <c r="B37" s="21" t="s">
        <v>33</v>
      </c>
      <c r="C37" s="22"/>
      <c r="D37" s="35">
        <v>0.01</v>
      </c>
      <c r="E37" s="57">
        <f t="shared" ref="E37:E42" si="0">D37*E$25</f>
        <v>134.32560000000001</v>
      </c>
      <c r="F37" s="32"/>
      <c r="H37" s="11"/>
      <c r="I37" s="11"/>
      <c r="J37" s="11"/>
      <c r="K37" s="11"/>
      <c r="L37" s="11"/>
      <c r="M37" s="11"/>
      <c r="N37" s="11"/>
    </row>
    <row r="38" spans="1:14" ht="14.25" customHeight="1" x14ac:dyDescent="0.3">
      <c r="A38" s="2" t="s">
        <v>34</v>
      </c>
      <c r="B38" s="21" t="s">
        <v>35</v>
      </c>
      <c r="C38" s="22"/>
      <c r="D38" s="30">
        <v>1.4999999999999999E-2</v>
      </c>
      <c r="E38" s="57">
        <f t="shared" si="0"/>
        <v>201.48839999999998</v>
      </c>
      <c r="F38" s="32"/>
      <c r="H38" s="11"/>
      <c r="I38" s="11"/>
      <c r="J38" s="11"/>
      <c r="K38" s="11"/>
      <c r="L38" s="11"/>
      <c r="M38" s="11"/>
      <c r="N38" s="11"/>
    </row>
    <row r="39" spans="1:14" ht="14.25" customHeight="1" x14ac:dyDescent="0.3">
      <c r="A39" s="2" t="s">
        <v>36</v>
      </c>
      <c r="B39" s="21" t="s">
        <v>37</v>
      </c>
      <c r="C39" s="22"/>
      <c r="D39" s="30">
        <v>0.01</v>
      </c>
      <c r="E39" s="57">
        <f t="shared" si="0"/>
        <v>134.32560000000001</v>
      </c>
      <c r="F39" s="32"/>
      <c r="H39" s="11"/>
      <c r="I39" s="11"/>
      <c r="J39" s="11"/>
      <c r="K39" s="11"/>
      <c r="L39" s="11"/>
      <c r="M39" s="11"/>
      <c r="N39" s="11"/>
    </row>
    <row r="40" spans="1:14" ht="14.25" customHeight="1" x14ac:dyDescent="0.3">
      <c r="A40" s="2" t="s">
        <v>38</v>
      </c>
      <c r="B40" s="21" t="s">
        <v>39</v>
      </c>
      <c r="C40" s="22"/>
      <c r="D40" s="30">
        <v>6.0000000000000001E-3</v>
      </c>
      <c r="E40" s="57">
        <f t="shared" si="0"/>
        <v>80.595359999999999</v>
      </c>
      <c r="F40" s="32"/>
      <c r="H40" s="11"/>
      <c r="I40" s="11"/>
      <c r="J40" s="11"/>
      <c r="K40" s="11"/>
      <c r="L40" s="11"/>
      <c r="M40" s="11"/>
      <c r="N40" s="11"/>
    </row>
    <row r="41" spans="1:14" ht="14.25" customHeight="1" x14ac:dyDescent="0.3">
      <c r="A41" s="2" t="s">
        <v>40</v>
      </c>
      <c r="B41" s="21" t="s">
        <v>41</v>
      </c>
      <c r="C41" s="22"/>
      <c r="D41" s="36">
        <v>2E-3</v>
      </c>
      <c r="E41" s="57">
        <f t="shared" si="0"/>
        <v>26.865120000000001</v>
      </c>
      <c r="F41" s="32"/>
      <c r="H41" s="11"/>
      <c r="I41" s="11"/>
      <c r="J41" s="11"/>
      <c r="K41" s="11"/>
      <c r="L41" s="11"/>
      <c r="M41" s="11"/>
      <c r="N41" s="11"/>
    </row>
    <row r="42" spans="1:14" ht="14.25" customHeight="1" x14ac:dyDescent="0.3">
      <c r="A42" s="2" t="s">
        <v>42</v>
      </c>
      <c r="B42" s="21" t="s">
        <v>43</v>
      </c>
      <c r="C42" s="22"/>
      <c r="D42" s="30">
        <v>0.08</v>
      </c>
      <c r="E42" s="57">
        <f t="shared" si="0"/>
        <v>1074.6048000000001</v>
      </c>
      <c r="F42" s="32"/>
      <c r="H42" s="245"/>
      <c r="I42" s="11"/>
      <c r="J42" s="11"/>
      <c r="K42" s="11"/>
      <c r="L42" s="11"/>
      <c r="M42" s="11"/>
      <c r="N42" s="11"/>
    </row>
    <row r="43" spans="1:14" ht="14.25" customHeight="1" thickBot="1" x14ac:dyDescent="0.35">
      <c r="B43" s="215" t="s">
        <v>44</v>
      </c>
      <c r="C43" s="216"/>
      <c r="D43" s="37">
        <f>SUM(D35:D42)</f>
        <v>0.1980024</v>
      </c>
      <c r="E43" s="33">
        <f>SUM(E35:E42)</f>
        <v>2659.6828800000003</v>
      </c>
      <c r="F43" s="29"/>
      <c r="H43" s="245"/>
      <c r="I43" s="11"/>
      <c r="J43" s="11"/>
      <c r="K43" s="11"/>
      <c r="L43" s="11"/>
      <c r="M43" s="11"/>
      <c r="N43" s="11"/>
    </row>
    <row r="44" spans="1:14" ht="14.25" customHeight="1" x14ac:dyDescent="0.3">
      <c r="B44" s="212" t="s">
        <v>45</v>
      </c>
      <c r="C44" s="213"/>
      <c r="D44" s="213"/>
      <c r="E44" s="214"/>
      <c r="H44" s="245"/>
      <c r="I44" s="11"/>
      <c r="J44" s="11"/>
      <c r="K44" s="11"/>
      <c r="L44" s="11"/>
      <c r="M44" s="11"/>
      <c r="N44" s="11"/>
    </row>
    <row r="45" spans="1:14" ht="14.25" customHeight="1" x14ac:dyDescent="0.3">
      <c r="A45" s="2" t="s">
        <v>24</v>
      </c>
      <c r="B45" s="201" t="s">
        <v>46</v>
      </c>
      <c r="C45" s="202"/>
      <c r="D45" s="203"/>
      <c r="E45" s="57">
        <v>0</v>
      </c>
      <c r="F45" s="32"/>
      <c r="H45" s="38"/>
      <c r="I45" s="11"/>
      <c r="J45" s="11"/>
      <c r="K45" s="11"/>
      <c r="L45" s="11"/>
      <c r="M45" s="11"/>
      <c r="N45" s="11"/>
    </row>
    <row r="46" spans="1:14" ht="14.25" customHeight="1" x14ac:dyDescent="0.3">
      <c r="A46" s="2" t="s">
        <v>26</v>
      </c>
      <c r="B46" s="201" t="s">
        <v>47</v>
      </c>
      <c r="C46" s="202"/>
      <c r="D46" s="203"/>
      <c r="E46" s="57">
        <v>589.77599999999995</v>
      </c>
      <c r="F46" s="32"/>
      <c r="H46" s="38"/>
      <c r="I46" s="11"/>
      <c r="J46" s="70"/>
      <c r="K46" s="11"/>
      <c r="L46" s="11"/>
      <c r="M46" s="11"/>
      <c r="N46" s="11"/>
    </row>
    <row r="47" spans="1:14" ht="14.25" customHeight="1" x14ac:dyDescent="0.3">
      <c r="A47" s="2" t="s">
        <v>32</v>
      </c>
      <c r="B47" s="21" t="s">
        <v>48</v>
      </c>
      <c r="C47" s="22"/>
      <c r="D47" s="40"/>
      <c r="E47" s="57">
        <v>165</v>
      </c>
      <c r="F47" s="32"/>
      <c r="H47" s="38"/>
      <c r="I47" s="11"/>
      <c r="J47" s="11"/>
      <c r="K47" s="11"/>
      <c r="L47" s="11"/>
      <c r="M47" s="11"/>
      <c r="N47" s="11"/>
    </row>
    <row r="48" spans="1:14" ht="14.25" customHeight="1" x14ac:dyDescent="0.3">
      <c r="A48" s="2" t="s">
        <v>34</v>
      </c>
      <c r="B48" s="201" t="s">
        <v>20</v>
      </c>
      <c r="C48" s="202"/>
      <c r="D48" s="203"/>
      <c r="E48" s="31"/>
      <c r="F48" s="32"/>
      <c r="H48" s="38"/>
      <c r="I48" s="11"/>
      <c r="J48" s="11"/>
      <c r="K48" s="11"/>
      <c r="L48" s="11"/>
      <c r="M48" s="11"/>
      <c r="N48" s="11"/>
    </row>
    <row r="49" spans="1:15" ht="14.25" customHeight="1" thickBot="1" x14ac:dyDescent="0.35">
      <c r="B49" s="215" t="s">
        <v>49</v>
      </c>
      <c r="C49" s="217"/>
      <c r="D49" s="216">
        <v>0</v>
      </c>
      <c r="E49" s="33">
        <f>SUM(E45:E47)</f>
        <v>754.77599999999995</v>
      </c>
      <c r="F49" s="29"/>
      <c r="H49" s="38"/>
      <c r="I49" s="11"/>
      <c r="J49" s="11"/>
      <c r="K49" s="11"/>
      <c r="L49" s="11"/>
      <c r="M49" s="11"/>
      <c r="N49" s="11"/>
    </row>
    <row r="50" spans="1:15" ht="14.25" customHeight="1" thickBot="1" x14ac:dyDescent="0.35">
      <c r="B50" s="191" t="s">
        <v>50</v>
      </c>
      <c r="C50" s="192"/>
      <c r="D50" s="193"/>
      <c r="E50" s="28">
        <f>E43+E33+E49</f>
        <v>6702.1033318368191</v>
      </c>
      <c r="F50" s="29"/>
      <c r="H50" s="38"/>
      <c r="I50" s="11"/>
      <c r="J50" s="11"/>
      <c r="K50" s="11"/>
      <c r="L50" s="11"/>
      <c r="M50" s="11"/>
      <c r="N50" s="11"/>
    </row>
    <row r="51" spans="1:15" ht="14.25" customHeight="1" thickBot="1" x14ac:dyDescent="0.35">
      <c r="H51" s="38"/>
      <c r="I51" s="11"/>
      <c r="J51" s="11"/>
      <c r="K51" s="11"/>
      <c r="L51" s="11"/>
      <c r="M51" s="11"/>
      <c r="N51" s="11"/>
    </row>
    <row r="52" spans="1:15" ht="14.25" customHeight="1" thickBot="1" x14ac:dyDescent="0.35">
      <c r="B52" s="194" t="s">
        <v>51</v>
      </c>
      <c r="C52" s="195"/>
      <c r="D52" s="195"/>
      <c r="E52" s="196"/>
      <c r="F52" s="20"/>
      <c r="H52" s="38"/>
      <c r="I52" s="11"/>
      <c r="J52" s="11"/>
      <c r="K52" s="11"/>
      <c r="L52" s="11"/>
      <c r="M52" s="11"/>
      <c r="N52" s="11"/>
    </row>
    <row r="53" spans="1:15" ht="14.25" customHeight="1" x14ac:dyDescent="0.3">
      <c r="A53" s="2" t="s">
        <v>24</v>
      </c>
      <c r="B53" s="21" t="s">
        <v>52</v>
      </c>
      <c r="C53" s="21"/>
      <c r="D53" s="30">
        <v>4.2119999999999996E-3</v>
      </c>
      <c r="E53" s="57">
        <f t="shared" ref="E53:E58" si="1">D53*E$25</f>
        <v>56.577942719999996</v>
      </c>
      <c r="F53" s="32"/>
      <c r="H53" s="245"/>
      <c r="I53" s="11"/>
      <c r="J53" s="11"/>
      <c r="K53" s="11"/>
      <c r="L53" s="11"/>
      <c r="M53" s="11"/>
      <c r="N53" s="11"/>
    </row>
    <row r="54" spans="1:15" ht="14.25" customHeight="1" x14ac:dyDescent="0.3">
      <c r="A54" s="2" t="s">
        <v>26</v>
      </c>
      <c r="B54" s="21" t="s">
        <v>54</v>
      </c>
      <c r="C54" s="21"/>
      <c r="D54" s="30">
        <v>3.3695999999999997E-4</v>
      </c>
      <c r="E54" s="57">
        <f t="shared" si="1"/>
        <v>4.5262354175999997</v>
      </c>
      <c r="F54" s="32"/>
      <c r="H54" s="245"/>
      <c r="I54" s="11"/>
      <c r="J54" s="11">
        <v>8.33</v>
      </c>
      <c r="K54" s="11">
        <f>J54/12</f>
        <v>0.69416666666666671</v>
      </c>
      <c r="L54" s="11"/>
      <c r="M54" s="11"/>
      <c r="N54" s="11"/>
    </row>
    <row r="55" spans="1:15" ht="14.25" customHeight="1" x14ac:dyDescent="0.3">
      <c r="A55" s="2" t="s">
        <v>32</v>
      </c>
      <c r="B55" s="21" t="s">
        <v>55</v>
      </c>
      <c r="C55" s="21"/>
      <c r="D55" s="30">
        <v>0.02</v>
      </c>
      <c r="E55" s="57">
        <f t="shared" si="1"/>
        <v>268.65120000000002</v>
      </c>
      <c r="F55" s="32"/>
      <c r="H55" s="245"/>
      <c r="I55" s="11"/>
      <c r="J55" s="11">
        <v>2.78</v>
      </c>
      <c r="K55" s="105">
        <f>J55/12</f>
        <v>0.23166666666666666</v>
      </c>
      <c r="L55" s="11"/>
      <c r="M55" s="11"/>
      <c r="N55" s="11"/>
      <c r="O55" s="104"/>
    </row>
    <row r="56" spans="1:15" ht="14.25" customHeight="1" x14ac:dyDescent="0.3">
      <c r="A56" s="2" t="s">
        <v>34</v>
      </c>
      <c r="B56" s="21" t="s">
        <v>57</v>
      </c>
      <c r="C56" s="21"/>
      <c r="D56" s="30">
        <v>1.9444444444444445E-2</v>
      </c>
      <c r="E56" s="57">
        <f t="shared" si="1"/>
        <v>261.18866666666668</v>
      </c>
      <c r="F56" s="32"/>
      <c r="H56" s="245"/>
      <c r="I56" s="11"/>
      <c r="J56" s="11"/>
      <c r="K56" s="11">
        <f>ROUND(SUM(K54:K55),2)</f>
        <v>0.93</v>
      </c>
      <c r="L56" s="11"/>
      <c r="M56" s="11"/>
      <c r="N56" s="11"/>
    </row>
    <row r="57" spans="1:15" ht="14.25" customHeight="1" x14ac:dyDescent="0.3">
      <c r="A57" s="2" t="s">
        <v>36</v>
      </c>
      <c r="B57" s="21" t="s">
        <v>58</v>
      </c>
      <c r="C57" s="22"/>
      <c r="D57" s="30">
        <v>2.8778244444444445E-3</v>
      </c>
      <c r="E57" s="57">
        <f t="shared" si="1"/>
        <v>38.656549519466665</v>
      </c>
      <c r="F57" s="32"/>
      <c r="H57" s="245"/>
      <c r="I57" s="11"/>
      <c r="J57" s="11"/>
      <c r="K57" s="11"/>
      <c r="L57" s="11"/>
      <c r="M57" s="11"/>
      <c r="N57" s="11"/>
    </row>
    <row r="58" spans="1:15" ht="14.25" customHeight="1" x14ac:dyDescent="0.3">
      <c r="A58" s="2" t="s">
        <v>38</v>
      </c>
      <c r="B58" s="21" t="s">
        <v>59</v>
      </c>
      <c r="C58" s="21"/>
      <c r="D58" s="30">
        <v>0.02</v>
      </c>
      <c r="E58" s="57">
        <f t="shared" si="1"/>
        <v>268.65120000000002</v>
      </c>
      <c r="F58" s="32"/>
      <c r="H58" s="38"/>
      <c r="I58" s="11"/>
      <c r="J58" s="11"/>
      <c r="K58" s="11"/>
      <c r="L58" s="11"/>
      <c r="M58" s="11"/>
      <c r="N58" s="11"/>
    </row>
    <row r="59" spans="1:15" ht="14.25" customHeight="1" thickBot="1" x14ac:dyDescent="0.35">
      <c r="B59" s="191" t="s">
        <v>60</v>
      </c>
      <c r="C59" s="192"/>
      <c r="D59" s="193"/>
      <c r="E59" s="28">
        <f>SUM(E53:E58)</f>
        <v>898.25179432373341</v>
      </c>
      <c r="F59" s="29"/>
      <c r="H59" s="38"/>
      <c r="I59" s="11"/>
      <c r="J59" s="11"/>
      <c r="K59" s="11"/>
      <c r="L59" s="11"/>
      <c r="M59" s="11"/>
      <c r="N59" s="11"/>
    </row>
    <row r="60" spans="1:15" ht="14.25" customHeight="1" thickBot="1" x14ac:dyDescent="0.35">
      <c r="H60" s="38"/>
      <c r="I60" s="11"/>
      <c r="J60" s="11"/>
      <c r="K60" s="11"/>
      <c r="L60" s="11"/>
      <c r="M60" s="11"/>
      <c r="N60" s="11"/>
    </row>
    <row r="61" spans="1:15" ht="14.25" customHeight="1" x14ac:dyDescent="0.3">
      <c r="B61" s="204" t="s">
        <v>75</v>
      </c>
      <c r="C61" s="205"/>
      <c r="D61" s="205"/>
      <c r="E61" s="206"/>
      <c r="F61" s="20"/>
      <c r="H61" s="38"/>
      <c r="I61" s="11"/>
      <c r="J61" s="11"/>
      <c r="K61" s="11"/>
      <c r="L61" s="11"/>
      <c r="M61" s="11"/>
      <c r="N61" s="11"/>
    </row>
    <row r="62" spans="1:15" ht="14.25" customHeight="1" x14ac:dyDescent="0.3">
      <c r="B62" s="207"/>
      <c r="C62" s="208"/>
      <c r="D62" s="208"/>
      <c r="E62" s="209"/>
      <c r="H62" s="11"/>
      <c r="I62" s="11"/>
      <c r="J62" s="11"/>
      <c r="K62" s="11"/>
      <c r="L62" s="11"/>
      <c r="M62" s="11"/>
      <c r="N62" s="11"/>
    </row>
    <row r="63" spans="1:15" ht="14.25" customHeight="1" x14ac:dyDescent="0.3">
      <c r="A63" s="2" t="s">
        <v>24</v>
      </c>
      <c r="B63" s="201" t="s">
        <v>76</v>
      </c>
      <c r="C63" s="203"/>
      <c r="D63" s="30">
        <v>9.2999999999999992E-3</v>
      </c>
      <c r="E63" s="57">
        <f t="shared" ref="E63:E68" si="2">D63*E$25</f>
        <v>124.92280799999999</v>
      </c>
      <c r="F63" s="32"/>
      <c r="H63" s="38"/>
      <c r="I63" s="11"/>
      <c r="J63" s="11"/>
      <c r="K63" s="11"/>
      <c r="L63" s="11"/>
      <c r="M63" s="11"/>
      <c r="N63" s="11"/>
    </row>
    <row r="64" spans="1:15" ht="14.25" customHeight="1" x14ac:dyDescent="0.3">
      <c r="A64" s="2" t="s">
        <v>26</v>
      </c>
      <c r="B64" s="101" t="s">
        <v>77</v>
      </c>
      <c r="C64" s="98"/>
      <c r="D64" s="30">
        <v>1.66E-2</v>
      </c>
      <c r="E64" s="57">
        <f t="shared" si="2"/>
        <v>222.98049599999999</v>
      </c>
      <c r="F64" s="32"/>
      <c r="H64" s="38"/>
      <c r="I64" s="11"/>
      <c r="J64" s="11"/>
      <c r="K64" s="78"/>
      <c r="L64" s="11"/>
      <c r="M64" s="11"/>
      <c r="N64" s="11"/>
    </row>
    <row r="65" spans="1:14" ht="14.25" customHeight="1" x14ac:dyDescent="0.3">
      <c r="A65" s="2" t="s">
        <v>32</v>
      </c>
      <c r="B65" s="101" t="s">
        <v>79</v>
      </c>
      <c r="C65" s="98"/>
      <c r="D65" s="30">
        <v>2.0000000000000001E-4</v>
      </c>
      <c r="E65" s="57">
        <f t="shared" si="2"/>
        <v>2.686512</v>
      </c>
      <c r="F65" s="32"/>
      <c r="H65" s="38"/>
      <c r="I65" s="11"/>
      <c r="J65" s="11"/>
      <c r="K65" s="11"/>
      <c r="L65" s="11"/>
      <c r="M65" s="11"/>
      <c r="N65" s="11"/>
    </row>
    <row r="66" spans="1:14" ht="14.25" customHeight="1" x14ac:dyDescent="0.3">
      <c r="A66" s="2" t="s">
        <v>34</v>
      </c>
      <c r="B66" s="101" t="s">
        <v>81</v>
      </c>
      <c r="C66" s="98"/>
      <c r="D66" s="30">
        <v>2.7000000000000001E-3</v>
      </c>
      <c r="E66" s="57">
        <f t="shared" si="2"/>
        <v>36.267912000000003</v>
      </c>
      <c r="F66" s="32"/>
      <c r="H66" s="38"/>
      <c r="I66" s="11"/>
      <c r="J66" s="11"/>
      <c r="K66" s="11"/>
      <c r="L66" s="78"/>
      <c r="M66" s="11"/>
      <c r="N66" s="11"/>
    </row>
    <row r="67" spans="1:14" ht="14.25" customHeight="1" x14ac:dyDescent="0.3">
      <c r="A67" s="2" t="s">
        <v>36</v>
      </c>
      <c r="B67" s="101" t="s">
        <v>83</v>
      </c>
      <c r="C67" s="98"/>
      <c r="D67" s="30">
        <v>2.8E-3</v>
      </c>
      <c r="E67" s="57">
        <f t="shared" si="2"/>
        <v>37.611167999999999</v>
      </c>
      <c r="F67" s="32"/>
      <c r="H67" s="245"/>
      <c r="I67" s="105"/>
      <c r="J67" s="11"/>
      <c r="K67" s="11"/>
      <c r="L67" s="11"/>
      <c r="M67" s="11"/>
      <c r="N67" s="11"/>
    </row>
    <row r="68" spans="1:14" ht="14.25" customHeight="1" x14ac:dyDescent="0.3">
      <c r="A68" s="2" t="s">
        <v>38</v>
      </c>
      <c r="B68" s="101" t="s">
        <v>20</v>
      </c>
      <c r="C68" s="98"/>
      <c r="D68" s="30">
        <v>0</v>
      </c>
      <c r="E68" s="57">
        <f t="shared" si="2"/>
        <v>0</v>
      </c>
      <c r="F68" s="32"/>
      <c r="H68" s="245"/>
      <c r="I68" s="11"/>
      <c r="J68" s="11"/>
      <c r="K68" s="11"/>
      <c r="L68" s="11"/>
      <c r="M68" s="11"/>
      <c r="N68" s="11"/>
    </row>
    <row r="69" spans="1:14" ht="14.25" customHeight="1" x14ac:dyDescent="0.3">
      <c r="B69" s="102" t="s">
        <v>164</v>
      </c>
      <c r="C69" s="96"/>
      <c r="D69" s="100">
        <v>0.1056</v>
      </c>
      <c r="E69" s="99">
        <f>SUM(E63:E68)</f>
        <v>424.46889600000003</v>
      </c>
      <c r="F69" s="32"/>
      <c r="H69" s="92"/>
      <c r="I69" s="11"/>
      <c r="J69" s="11"/>
      <c r="K69" s="11"/>
      <c r="L69" s="11"/>
      <c r="M69" s="11"/>
      <c r="N69" s="11"/>
    </row>
    <row r="70" spans="1:14" ht="14.25" customHeight="1" x14ac:dyDescent="0.3">
      <c r="B70" s="201" t="s">
        <v>165</v>
      </c>
      <c r="C70" s="202"/>
      <c r="D70" s="203"/>
      <c r="E70" s="57">
        <f>D43*E69</f>
        <v>84.045860133350402</v>
      </c>
      <c r="F70" s="32"/>
      <c r="H70" s="92"/>
      <c r="I70" s="11"/>
      <c r="J70" s="11"/>
      <c r="K70" s="11"/>
      <c r="L70" s="11"/>
      <c r="M70" s="11"/>
      <c r="N70" s="11"/>
    </row>
    <row r="71" spans="1:14" ht="14.25" customHeight="1" thickBot="1" x14ac:dyDescent="0.35">
      <c r="B71" s="210" t="s">
        <v>86</v>
      </c>
      <c r="C71" s="211"/>
      <c r="D71" s="211"/>
      <c r="E71" s="103">
        <f>SUM(E69:E70)</f>
        <v>508.51475613335043</v>
      </c>
      <c r="F71" s="29"/>
      <c r="H71" s="43"/>
      <c r="I71" s="11"/>
      <c r="J71" s="11"/>
      <c r="K71" s="11"/>
      <c r="L71" s="11"/>
      <c r="M71" s="11"/>
      <c r="N71" s="11"/>
    </row>
    <row r="72" spans="1:14" ht="12.75" customHeight="1" thickBot="1" x14ac:dyDescent="0.35">
      <c r="H72" s="43"/>
      <c r="I72" s="11"/>
      <c r="J72" s="11"/>
      <c r="K72" s="11"/>
      <c r="L72" s="11"/>
      <c r="M72" s="11"/>
      <c r="N72" s="11"/>
    </row>
    <row r="73" spans="1:14" ht="14.25" customHeight="1" thickBot="1" x14ac:dyDescent="0.35">
      <c r="B73" s="194" t="s">
        <v>61</v>
      </c>
      <c r="C73" s="195"/>
      <c r="D73" s="195"/>
      <c r="E73" s="196"/>
      <c r="F73" s="20"/>
      <c r="H73" s="34"/>
      <c r="I73" s="11"/>
      <c r="J73" s="11"/>
      <c r="K73" s="11"/>
      <c r="L73" s="11"/>
      <c r="M73" s="11"/>
      <c r="N73" s="11"/>
    </row>
    <row r="74" spans="1:14" ht="14.25" customHeight="1" x14ac:dyDescent="0.3">
      <c r="A74" s="2" t="s">
        <v>24</v>
      </c>
      <c r="B74" s="201" t="s">
        <v>104</v>
      </c>
      <c r="C74" s="202"/>
      <c r="D74" s="203"/>
      <c r="E74" s="57">
        <v>50</v>
      </c>
      <c r="F74" s="24"/>
      <c r="H74" s="11"/>
      <c r="I74" s="11"/>
      <c r="J74" s="11"/>
      <c r="K74" s="11"/>
      <c r="L74" s="11"/>
      <c r="M74" s="11"/>
      <c r="N74" s="11"/>
    </row>
    <row r="75" spans="1:14" ht="14.25" customHeight="1" x14ac:dyDescent="0.3">
      <c r="A75" s="2" t="s">
        <v>26</v>
      </c>
      <c r="B75" s="25" t="s">
        <v>96</v>
      </c>
      <c r="C75" s="26"/>
      <c r="D75" s="44"/>
      <c r="E75" s="57">
        <v>0</v>
      </c>
      <c r="F75" s="24"/>
      <c r="H75" s="11"/>
      <c r="I75" s="11"/>
      <c r="J75" s="11"/>
      <c r="K75" s="11"/>
      <c r="L75" s="11"/>
      <c r="M75" s="11"/>
      <c r="N75" s="11"/>
    </row>
    <row r="76" spans="1:14" ht="14.25" customHeight="1" x14ac:dyDescent="0.3">
      <c r="A76" s="2" t="s">
        <v>32</v>
      </c>
      <c r="B76" s="25" t="s">
        <v>62</v>
      </c>
      <c r="C76" s="26"/>
      <c r="D76" s="44"/>
      <c r="E76" s="57">
        <v>90</v>
      </c>
      <c r="F76" s="24"/>
      <c r="H76" s="11"/>
      <c r="I76" s="11"/>
      <c r="J76" s="11"/>
      <c r="K76" s="11"/>
      <c r="L76" s="11"/>
      <c r="M76" s="11"/>
      <c r="N76" s="11"/>
    </row>
    <row r="77" spans="1:14" ht="14.25" customHeight="1" x14ac:dyDescent="0.3">
      <c r="B77" s="25" t="s">
        <v>101</v>
      </c>
      <c r="C77" s="26"/>
      <c r="D77" s="44"/>
      <c r="E77" s="57">
        <v>0</v>
      </c>
      <c r="F77" s="24"/>
      <c r="H77" s="11"/>
      <c r="I77" s="11"/>
      <c r="J77" s="11"/>
      <c r="K77" s="11"/>
      <c r="L77" s="11"/>
      <c r="M77" s="11"/>
      <c r="N77" s="11"/>
    </row>
    <row r="78" spans="1:14" ht="14.25" customHeight="1" x14ac:dyDescent="0.3">
      <c r="B78" s="25" t="s">
        <v>97</v>
      </c>
      <c r="C78" s="26"/>
      <c r="D78" s="44"/>
      <c r="E78" s="57">
        <v>0</v>
      </c>
      <c r="F78" s="24"/>
      <c r="H78" s="11"/>
      <c r="I78" s="11"/>
      <c r="J78" s="11"/>
      <c r="K78" s="11"/>
      <c r="L78" s="11"/>
      <c r="M78" s="11"/>
      <c r="N78" s="11"/>
    </row>
    <row r="79" spans="1:14" ht="14.25" customHeight="1" x14ac:dyDescent="0.3">
      <c r="A79" s="2" t="s">
        <v>34</v>
      </c>
      <c r="B79" s="25" t="s">
        <v>166</v>
      </c>
      <c r="C79" s="26"/>
      <c r="D79" s="44"/>
      <c r="E79" s="57">
        <v>0</v>
      </c>
      <c r="F79" s="24"/>
      <c r="H79" s="11"/>
      <c r="J79" s="11"/>
      <c r="K79" s="11"/>
      <c r="L79" s="11"/>
      <c r="M79" s="11"/>
      <c r="N79" s="11"/>
    </row>
    <row r="80" spans="1:14" ht="14.25" customHeight="1" thickBot="1" x14ac:dyDescent="0.35">
      <c r="B80" s="191" t="s">
        <v>63</v>
      </c>
      <c r="C80" s="192"/>
      <c r="D80" s="193"/>
      <c r="E80" s="28">
        <f>SUM(E74:E79)</f>
        <v>140</v>
      </c>
      <c r="F80" s="29"/>
      <c r="H80" s="11"/>
      <c r="J80" s="11"/>
      <c r="K80" s="11"/>
      <c r="L80" s="11"/>
      <c r="M80" s="11"/>
      <c r="N80" s="11"/>
    </row>
    <row r="81" spans="1:14" ht="14.25" customHeight="1" thickBot="1" x14ac:dyDescent="0.35">
      <c r="H81" s="11"/>
      <c r="J81" s="11"/>
      <c r="K81" s="11"/>
      <c r="L81" s="11"/>
      <c r="M81" s="11"/>
      <c r="N81" s="11"/>
    </row>
    <row r="82" spans="1:14" ht="14.25" customHeight="1" thickBot="1" x14ac:dyDescent="0.35">
      <c r="B82" s="194" t="s">
        <v>64</v>
      </c>
      <c r="C82" s="195"/>
      <c r="D82" s="195"/>
      <c r="E82" s="196"/>
      <c r="F82" s="20"/>
      <c r="H82" s="11"/>
      <c r="J82" s="11"/>
      <c r="K82" s="11"/>
      <c r="L82" s="11"/>
      <c r="M82" s="11"/>
      <c r="N82" s="11"/>
    </row>
    <row r="83" spans="1:14" ht="14.25" customHeight="1" x14ac:dyDescent="0.3">
      <c r="A83" s="2" t="s">
        <v>24</v>
      </c>
      <c r="B83" s="45" t="s">
        <v>65</v>
      </c>
      <c r="C83" s="46"/>
      <c r="D83" s="35">
        <f>'1'!D83</f>
        <v>0</v>
      </c>
      <c r="E83" s="57">
        <f>D83*(E80+E71+E59+E50+E25)</f>
        <v>0</v>
      </c>
      <c r="F83" s="32"/>
      <c r="H83" s="11"/>
      <c r="I83" s="54"/>
      <c r="J83" s="11"/>
      <c r="K83" s="11"/>
      <c r="L83" s="11"/>
      <c r="M83" s="34"/>
      <c r="N83" s="11"/>
    </row>
    <row r="84" spans="1:14" ht="14.25" customHeight="1" x14ac:dyDescent="0.3">
      <c r="A84" s="2" t="s">
        <v>26</v>
      </c>
      <c r="B84" s="21" t="s">
        <v>66</v>
      </c>
      <c r="C84" s="22"/>
      <c r="D84" s="35">
        <f>'1'!D84</f>
        <v>-1.3677647119945452E-2</v>
      </c>
      <c r="E84" s="57">
        <f>D84*(E83+E80+E71+E59+E50+E25)</f>
        <v>-296.55094698585646</v>
      </c>
      <c r="F84" s="32"/>
      <c r="H84" s="34"/>
      <c r="I84" s="162"/>
      <c r="J84" s="11"/>
      <c r="K84" s="11"/>
      <c r="L84" s="11"/>
      <c r="M84" s="11"/>
      <c r="N84" s="11"/>
    </row>
    <row r="85" spans="1:14" ht="14.25" customHeight="1" x14ac:dyDescent="0.3">
      <c r="B85" s="21" t="s">
        <v>67</v>
      </c>
      <c r="C85" s="22"/>
      <c r="D85" s="30">
        <v>6.5000000000000006E-3</v>
      </c>
      <c r="E85" s="57">
        <f>D85*(E84+E83+E80+E71+E59+E50+E25)</f>
        <v>139.00171307950231</v>
      </c>
      <c r="F85" s="32"/>
      <c r="H85" s="34"/>
      <c r="J85" s="11"/>
      <c r="K85" s="11"/>
      <c r="L85" s="11"/>
      <c r="M85" s="34"/>
      <c r="N85" s="11"/>
    </row>
    <row r="86" spans="1:14" ht="14.25" customHeight="1" x14ac:dyDescent="0.3">
      <c r="B86" s="47" t="s">
        <v>68</v>
      </c>
      <c r="C86" s="48"/>
      <c r="D86" s="30">
        <v>0.03</v>
      </c>
      <c r="E86" s="57">
        <f>D86*(E83+E85+E84+E80+E71+E59+E50+E25)</f>
        <v>645.71641945162639</v>
      </c>
      <c r="F86" s="32"/>
      <c r="H86" s="11"/>
      <c r="J86" s="11"/>
      <c r="K86" s="11"/>
      <c r="L86" s="11"/>
      <c r="M86" s="34"/>
      <c r="N86" s="11"/>
    </row>
    <row r="87" spans="1:14" ht="14.25" customHeight="1" x14ac:dyDescent="0.3">
      <c r="B87" s="21" t="s">
        <v>69</v>
      </c>
      <c r="C87" s="22"/>
      <c r="D87" s="35">
        <v>0.05</v>
      </c>
      <c r="E87" s="57">
        <f>D87*(E84+E83+E86+E85+E80+E71+E59+E50+E25)</f>
        <v>1108.4798533919588</v>
      </c>
      <c r="F87" s="32"/>
      <c r="H87" s="11"/>
      <c r="J87" s="11"/>
      <c r="K87" s="11"/>
      <c r="L87" s="11"/>
      <c r="M87" s="34"/>
      <c r="N87" s="11"/>
    </row>
    <row r="88" spans="1:14" ht="14.25" customHeight="1" x14ac:dyDescent="0.3">
      <c r="B88" s="25" t="s">
        <v>87</v>
      </c>
      <c r="C88" s="26"/>
      <c r="D88" s="35">
        <v>3.5999999999999997E-2</v>
      </c>
      <c r="E88" s="57">
        <f>D88*(E84+E85+E87+E86+E83+E71+E59+E50+E25)</f>
        <v>832.97076916432081</v>
      </c>
      <c r="F88" s="32"/>
      <c r="H88" s="11"/>
      <c r="J88" s="11"/>
      <c r="K88" s="11"/>
      <c r="L88" s="11"/>
      <c r="M88" s="34"/>
      <c r="N88" s="11"/>
    </row>
    <row r="89" spans="1:14" ht="14.25" customHeight="1" thickBot="1" x14ac:dyDescent="0.35">
      <c r="B89" s="191" t="s">
        <v>70</v>
      </c>
      <c r="C89" s="192"/>
      <c r="D89" s="193"/>
      <c r="E89" s="49">
        <f>SUM(E83:E88)</f>
        <v>2429.6178081015519</v>
      </c>
      <c r="F89" s="29"/>
      <c r="H89" s="11"/>
      <c r="J89" s="11"/>
      <c r="K89" s="11"/>
      <c r="L89" s="11"/>
      <c r="M89" s="34"/>
      <c r="N89" s="11"/>
    </row>
    <row r="90" spans="1:14" ht="14.25" customHeight="1" thickBot="1" x14ac:dyDescent="0.35">
      <c r="H90" s="11"/>
      <c r="J90" s="11"/>
      <c r="K90" s="11"/>
      <c r="L90" s="11"/>
      <c r="M90" s="11"/>
      <c r="N90" s="11"/>
    </row>
    <row r="91" spans="1:14" ht="14.25" customHeight="1" thickBot="1" x14ac:dyDescent="0.35">
      <c r="B91" s="197" t="s">
        <v>71</v>
      </c>
      <c r="C91" s="198"/>
      <c r="D91" s="198"/>
      <c r="E91" s="50">
        <f>SUM(E89+E80+E71+E59+E50+E25)</f>
        <v>24111.047690395455</v>
      </c>
      <c r="F91" s="29"/>
      <c r="H91" s="54"/>
      <c r="J91" s="11"/>
      <c r="K91" s="11"/>
      <c r="L91" s="11"/>
      <c r="M91" s="11"/>
      <c r="N91" s="11"/>
    </row>
    <row r="92" spans="1:14" ht="14.25" customHeight="1" thickBot="1" x14ac:dyDescent="0.35">
      <c r="H92" s="11"/>
    </row>
    <row r="93" spans="1:14" ht="14.25" customHeight="1" thickBot="1" x14ac:dyDescent="0.35">
      <c r="B93" s="199" t="s">
        <v>72</v>
      </c>
      <c r="C93" s="200"/>
      <c r="D93" s="200"/>
      <c r="E93" s="51">
        <f>E91*E13</f>
        <v>48222.09538079091</v>
      </c>
      <c r="F93" s="29"/>
      <c r="H93" s="54"/>
    </row>
    <row r="94" spans="1:14" ht="14.25" customHeight="1" x14ac:dyDescent="0.3">
      <c r="B94" s="10"/>
      <c r="C94" s="10"/>
      <c r="D94" s="52"/>
      <c r="E94" s="9"/>
      <c r="F94" s="53"/>
      <c r="G94" s="53"/>
      <c r="H94" s="53"/>
    </row>
    <row r="95" spans="1:14" ht="14.25" customHeight="1" x14ac:dyDescent="0.3">
      <c r="K95" s="54"/>
    </row>
  </sheetData>
  <mergeCells count="45">
    <mergeCell ref="B93:D93"/>
    <mergeCell ref="B73:E73"/>
    <mergeCell ref="B74:D74"/>
    <mergeCell ref="B80:D80"/>
    <mergeCell ref="B82:E82"/>
    <mergeCell ref="B89:D89"/>
    <mergeCell ref="B91:D91"/>
    <mergeCell ref="B71:D71"/>
    <mergeCell ref="H53:H54"/>
    <mergeCell ref="H55:H57"/>
    <mergeCell ref="B59:D59"/>
    <mergeCell ref="B61:E61"/>
    <mergeCell ref="B62:E62"/>
    <mergeCell ref="B63:C63"/>
    <mergeCell ref="H67:H68"/>
    <mergeCell ref="B70:D70"/>
    <mergeCell ref="B52:E52"/>
    <mergeCell ref="B28:E28"/>
    <mergeCell ref="B34:E34"/>
    <mergeCell ref="H42:H44"/>
    <mergeCell ref="B43:C43"/>
    <mergeCell ref="B44:E44"/>
    <mergeCell ref="B45:D45"/>
    <mergeCell ref="B46:D46"/>
    <mergeCell ref="B48:D48"/>
    <mergeCell ref="B49:D49"/>
    <mergeCell ref="B50:D50"/>
    <mergeCell ref="B27:E27"/>
    <mergeCell ref="B10:E10"/>
    <mergeCell ref="B11:C11"/>
    <mergeCell ref="B12:D12"/>
    <mergeCell ref="B13:C13"/>
    <mergeCell ref="B15:E15"/>
    <mergeCell ref="C16:D16"/>
    <mergeCell ref="C17:D17"/>
    <mergeCell ref="C18:D18"/>
    <mergeCell ref="C19:D19"/>
    <mergeCell ref="B21:E21"/>
    <mergeCell ref="B25:D25"/>
    <mergeCell ref="B8:D8"/>
    <mergeCell ref="B2:E2"/>
    <mergeCell ref="B4:E4"/>
    <mergeCell ref="B5:D5"/>
    <mergeCell ref="B6:D6"/>
    <mergeCell ref="B7:D7"/>
  </mergeCells>
  <dataValidations count="5">
    <dataValidation allowBlank="1" showInputMessage="1" showErrorMessage="1" errorTitle="Valor inválido" error="Mínimo aceito = 2%_x000a_Máximo aceito = 5%" sqref="D88" xr:uid="{C2F2BC08-2FB3-4BD4-B0D7-4FC7913A7292}"/>
    <dataValidation operator="lessThanOrEqual" showInputMessage="1" errorTitle="Valor inválido" error="Máximo aceito = 5%" sqref="D83" xr:uid="{C814D5E0-1F13-44D2-9571-3ED95F7390E6}"/>
    <dataValidation type="decimal" allowBlank="1" showInputMessage="1" showErrorMessage="1" errorTitle="Valor inválido" error="Mínimo aceito = 2%_x000a_Máximo aceito = 5%" sqref="D87" xr:uid="{8B15327C-FD67-42E0-ABB8-63312765A759}">
      <formula1>0.02</formula1>
      <formula2>0.05</formula2>
    </dataValidation>
    <dataValidation type="decimal" operator="lessThanOrEqual" allowBlank="1" showInputMessage="1" showErrorMessage="1" errorTitle="Valor inválido" error="Máximo aceito = 6%" sqref="D41 D37" xr:uid="{BFF62B21-4C3C-4194-A880-3A6ACEE344CC}">
      <formula1>0.06</formula1>
    </dataValidation>
    <dataValidation type="list" allowBlank="1" showInputMessage="1" showErrorMessage="1" sqref="H13" xr:uid="{B950FE9D-FFE9-450F-9223-A0E955CB1F24}">
      <formula1>#REF!</formula1>
    </dataValidation>
  </dataValidations>
  <pageMargins left="0.511811024" right="0.511811024" top="0.78740157499999996" bottom="0.78740157499999996" header="0.31496062000000002" footer="0.31496062000000002"/>
  <pageSetup paperSize="9" scale="56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E0CFD-A1E6-4CE0-AB05-04FC15D2C5DF}">
  <sheetPr codeName="Planilha7">
    <pageSetUpPr fitToPage="1"/>
  </sheetPr>
  <dimension ref="A1:Q95"/>
  <sheetViews>
    <sheetView topLeftCell="A55" zoomScaleNormal="100" workbookViewId="0">
      <selection activeCell="D64" sqref="D64"/>
    </sheetView>
  </sheetViews>
  <sheetFormatPr defaultColWidth="9.109375" defaultRowHeight="11.4" x14ac:dyDescent="0.3"/>
  <cols>
    <col min="1" max="1" width="1.6640625" style="2" customWidth="1"/>
    <col min="2" max="2" width="13.6640625" style="1" customWidth="1"/>
    <col min="3" max="3" width="59.44140625" style="1" customWidth="1"/>
    <col min="4" max="4" width="12.109375" style="1" customWidth="1"/>
    <col min="5" max="5" width="15.44140625" style="1" bestFit="1" customWidth="1"/>
    <col min="6" max="6" width="1.6640625" style="1" customWidth="1"/>
    <col min="7" max="7" width="1.6640625" style="2" customWidth="1"/>
    <col min="8" max="8" width="18.33203125" style="2" customWidth="1"/>
    <col min="9" max="9" width="11.6640625" style="2" bestFit="1" customWidth="1"/>
    <col min="10" max="10" width="9.109375" style="2" customWidth="1"/>
    <col min="11" max="11" width="27.109375" style="2" customWidth="1"/>
    <col min="12" max="12" width="9.109375" style="2" customWidth="1"/>
    <col min="13" max="13" width="18.5546875" style="2" customWidth="1"/>
    <col min="14" max="14" width="13.109375" style="2" customWidth="1"/>
    <col min="15" max="19" width="9.109375" style="2" customWidth="1"/>
    <col min="20" max="16384" width="9.109375" style="2"/>
  </cols>
  <sheetData>
    <row r="1" spans="2:16" ht="14.25" customHeight="1" thickBot="1" x14ac:dyDescent="0.35"/>
    <row r="2" spans="2:16" s="1" customFormat="1" ht="22.5" customHeight="1" thickBot="1" x14ac:dyDescent="0.35">
      <c r="B2" s="239" t="s">
        <v>73</v>
      </c>
      <c r="C2" s="240"/>
      <c r="D2" s="240"/>
      <c r="E2" s="241"/>
      <c r="G2" s="3"/>
      <c r="J2" s="3"/>
    </row>
    <row r="3" spans="2:16" ht="14.25" customHeight="1" thickBot="1" x14ac:dyDescent="0.35"/>
    <row r="4" spans="2:16" ht="14.25" customHeight="1" x14ac:dyDescent="0.3">
      <c r="B4" s="218" t="s">
        <v>2</v>
      </c>
      <c r="C4" s="219"/>
      <c r="D4" s="219"/>
      <c r="E4" s="220"/>
      <c r="J4" s="3"/>
    </row>
    <row r="5" spans="2:16" ht="14.25" customHeight="1" x14ac:dyDescent="0.3">
      <c r="B5" s="242" t="s">
        <v>3</v>
      </c>
      <c r="C5" s="243"/>
      <c r="D5" s="244"/>
      <c r="E5" s="4"/>
      <c r="J5" s="3"/>
    </row>
    <row r="6" spans="2:16" ht="14.25" customHeight="1" x14ac:dyDescent="0.3">
      <c r="B6" s="201" t="s">
        <v>4</v>
      </c>
      <c r="C6" s="202"/>
      <c r="D6" s="203"/>
      <c r="E6" s="5" t="s">
        <v>5</v>
      </c>
      <c r="J6" s="3"/>
    </row>
    <row r="7" spans="2:16" ht="14.25" customHeight="1" x14ac:dyDescent="0.3">
      <c r="B7" s="201" t="s">
        <v>6</v>
      </c>
      <c r="C7" s="202"/>
      <c r="D7" s="203"/>
      <c r="E7" s="5" t="s">
        <v>148</v>
      </c>
      <c r="J7" s="3"/>
    </row>
    <row r="8" spans="2:16" ht="14.25" customHeight="1" thickBot="1" x14ac:dyDescent="0.35">
      <c r="B8" s="236" t="s">
        <v>7</v>
      </c>
      <c r="C8" s="237"/>
      <c r="D8" s="238"/>
      <c r="E8" s="6">
        <v>12</v>
      </c>
      <c r="J8" s="3"/>
    </row>
    <row r="9" spans="2:16" ht="14.25" customHeight="1" thickBot="1" x14ac:dyDescent="0.35">
      <c r="J9" s="3"/>
    </row>
    <row r="10" spans="2:16" ht="14.25" customHeight="1" thickBot="1" x14ac:dyDescent="0.35">
      <c r="B10" s="218" t="s">
        <v>8</v>
      </c>
      <c r="C10" s="219"/>
      <c r="D10" s="219"/>
      <c r="E10" s="220"/>
      <c r="J10" s="3"/>
    </row>
    <row r="11" spans="2:16" s="10" customFormat="1" ht="33" customHeight="1" x14ac:dyDescent="0.3">
      <c r="B11" s="221" t="s">
        <v>9</v>
      </c>
      <c r="C11" s="222"/>
      <c r="D11" s="7" t="s">
        <v>10</v>
      </c>
      <c r="E11" s="8" t="s">
        <v>11</v>
      </c>
      <c r="F11" s="9"/>
      <c r="I11" s="11"/>
      <c r="J11" s="11"/>
      <c r="K11" s="11"/>
      <c r="L11" s="11"/>
      <c r="M11" s="11">
        <f>'1'!E91</f>
        <v>23924.14823739705</v>
      </c>
      <c r="N11" s="11"/>
      <c r="O11" s="11"/>
      <c r="P11" s="11"/>
    </row>
    <row r="12" spans="2:16" s="10" customFormat="1" ht="12" x14ac:dyDescent="0.3">
      <c r="B12" s="234" t="s">
        <v>91</v>
      </c>
      <c r="C12" s="235"/>
      <c r="D12" s="235"/>
      <c r="E12" s="61" t="s">
        <v>93</v>
      </c>
      <c r="F12" s="9"/>
      <c r="I12" s="11"/>
      <c r="J12" s="11"/>
      <c r="K12" s="11"/>
      <c r="L12" s="11"/>
      <c r="M12" s="11"/>
      <c r="N12" s="11"/>
      <c r="O12" s="11"/>
      <c r="P12" s="11"/>
    </row>
    <row r="13" spans="2:16" ht="14.25" customHeight="1" thickBot="1" x14ac:dyDescent="0.35">
      <c r="B13" s="223" t="s">
        <v>226</v>
      </c>
      <c r="C13" s="224"/>
      <c r="D13" s="12" t="s">
        <v>12</v>
      </c>
      <c r="E13" s="13">
        <v>1</v>
      </c>
      <c r="F13" s="14"/>
      <c r="H13" s="15"/>
      <c r="I13" s="11"/>
      <c r="J13" s="11"/>
      <c r="K13" s="11"/>
      <c r="L13" s="11"/>
      <c r="M13" s="11"/>
      <c r="N13" s="11"/>
      <c r="O13" s="11"/>
      <c r="P13" s="11"/>
    </row>
    <row r="14" spans="2:16" ht="14.25" customHeight="1" thickBot="1" x14ac:dyDescent="0.35">
      <c r="H14" s="11"/>
      <c r="I14" s="11"/>
      <c r="J14" s="11"/>
      <c r="K14" s="11"/>
      <c r="L14" s="11"/>
      <c r="M14" s="11"/>
      <c r="N14" s="11"/>
      <c r="O14" s="11"/>
      <c r="P14" s="11"/>
    </row>
    <row r="15" spans="2:16" ht="14.25" customHeight="1" x14ac:dyDescent="0.3">
      <c r="B15" s="218" t="s">
        <v>13</v>
      </c>
      <c r="C15" s="219"/>
      <c r="D15" s="219"/>
      <c r="E15" s="220"/>
      <c r="H15" s="11"/>
      <c r="I15" s="11"/>
      <c r="J15" s="11"/>
      <c r="K15" s="11"/>
      <c r="L15" s="11"/>
      <c r="M15" s="11"/>
      <c r="N15" s="11"/>
      <c r="O15" s="11"/>
      <c r="P15" s="11"/>
    </row>
    <row r="16" spans="2:16" ht="14.25" customHeight="1" x14ac:dyDescent="0.3">
      <c r="B16" s="16">
        <v>1</v>
      </c>
      <c r="C16" s="225" t="s">
        <v>14</v>
      </c>
      <c r="D16" s="226"/>
      <c r="E16" s="17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14.25" customHeight="1" x14ac:dyDescent="0.3">
      <c r="B17" s="18">
        <v>2</v>
      </c>
      <c r="C17" s="227" t="s">
        <v>15</v>
      </c>
      <c r="D17" s="228"/>
      <c r="E17" s="17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14.25" customHeight="1" x14ac:dyDescent="0.3">
      <c r="B18" s="18">
        <v>3</v>
      </c>
      <c r="C18" s="227" t="s">
        <v>16</v>
      </c>
      <c r="D18" s="228"/>
      <c r="E18" s="17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14.25" customHeight="1" thickBot="1" x14ac:dyDescent="0.35">
      <c r="B19" s="19">
        <v>4</v>
      </c>
      <c r="C19" s="229" t="s">
        <v>17</v>
      </c>
      <c r="D19" s="230"/>
      <c r="E19" s="55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4.25" customHeight="1" thickBot="1" x14ac:dyDescent="0.35"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4.25" customHeight="1" x14ac:dyDescent="0.3">
      <c r="B21" s="231" t="s">
        <v>18</v>
      </c>
      <c r="C21" s="232"/>
      <c r="D21" s="232"/>
      <c r="E21" s="233"/>
      <c r="F21" s="20"/>
      <c r="H21" s="11"/>
      <c r="I21" s="11"/>
      <c r="J21" s="11"/>
      <c r="K21" s="11"/>
      <c r="L21" s="11"/>
      <c r="M21" s="11">
        <f>'11'!E91</f>
        <v>16655.190792319532</v>
      </c>
      <c r="N21" s="11"/>
      <c r="O21" s="11"/>
      <c r="P21" s="11"/>
    </row>
    <row r="22" spans="1:16" ht="14.25" customHeight="1" x14ac:dyDescent="0.3">
      <c r="B22" s="21" t="s">
        <v>19</v>
      </c>
      <c r="C22" s="22"/>
      <c r="D22" s="23"/>
      <c r="E22" s="17">
        <v>8300</v>
      </c>
      <c r="F22" s="24"/>
      <c r="H22" s="34"/>
      <c r="I22" s="34"/>
      <c r="J22" s="11"/>
      <c r="K22" s="11"/>
      <c r="L22" s="11"/>
      <c r="M22" s="11"/>
      <c r="N22" s="11"/>
      <c r="O22" s="11"/>
      <c r="P22" s="11"/>
    </row>
    <row r="23" spans="1:16" ht="14.25" customHeight="1" x14ac:dyDescent="0.3">
      <c r="B23" s="25" t="s">
        <v>74</v>
      </c>
      <c r="C23" s="26"/>
      <c r="D23" s="27"/>
      <c r="E23" s="17"/>
      <c r="F23" s="24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14.25" customHeight="1" x14ac:dyDescent="0.3">
      <c r="B24" s="25" t="s">
        <v>20</v>
      </c>
      <c r="C24" s="26"/>
      <c r="D24" s="27"/>
      <c r="E24" s="17"/>
      <c r="F24" s="24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14.25" customHeight="1" thickBot="1" x14ac:dyDescent="0.35">
      <c r="B25" s="191" t="s">
        <v>21</v>
      </c>
      <c r="C25" s="192"/>
      <c r="D25" s="193"/>
      <c r="E25" s="28">
        <v>8300</v>
      </c>
      <c r="F25" s="29"/>
      <c r="H25" s="11"/>
      <c r="I25" s="11"/>
      <c r="J25" s="11"/>
      <c r="K25" s="11"/>
      <c r="L25" s="11"/>
      <c r="M25" s="11"/>
      <c r="N25" s="11"/>
      <c r="O25" s="11"/>
      <c r="P25" s="11"/>
    </row>
    <row r="26" spans="1:16" ht="14.25" customHeight="1" thickBot="1" x14ac:dyDescent="0.35"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14.25" customHeight="1" thickBot="1" x14ac:dyDescent="0.35">
      <c r="B27" s="194" t="s">
        <v>22</v>
      </c>
      <c r="C27" s="195"/>
      <c r="D27" s="195"/>
      <c r="E27" s="196"/>
      <c r="F27" s="20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14.25" customHeight="1" x14ac:dyDescent="0.3">
      <c r="B28" s="212" t="s">
        <v>23</v>
      </c>
      <c r="C28" s="213"/>
      <c r="D28" s="213"/>
      <c r="E28" s="214"/>
      <c r="H28" s="11"/>
      <c r="I28" s="11"/>
      <c r="J28" s="11"/>
      <c r="K28" s="11"/>
      <c r="L28" s="11"/>
      <c r="M28" s="11"/>
      <c r="N28" s="11"/>
      <c r="O28" s="11"/>
      <c r="P28" s="11"/>
    </row>
    <row r="29" spans="1:16" ht="14.25" customHeight="1" x14ac:dyDescent="0.3">
      <c r="A29" s="2" t="s">
        <v>24</v>
      </c>
      <c r="B29" s="21" t="s">
        <v>25</v>
      </c>
      <c r="C29" s="22"/>
      <c r="D29" s="30">
        <v>8.3299999999999999E-2</v>
      </c>
      <c r="E29" s="57">
        <f>D29*E22</f>
        <v>691.39</v>
      </c>
      <c r="F29" s="32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14.25" customHeight="1" x14ac:dyDescent="0.3">
      <c r="A30" s="2" t="s">
        <v>26</v>
      </c>
      <c r="B30" s="21" t="s">
        <v>27</v>
      </c>
      <c r="C30" s="22"/>
      <c r="D30" s="30">
        <v>0.121</v>
      </c>
      <c r="E30" s="57">
        <f>D30*E25</f>
        <v>1004.3</v>
      </c>
      <c r="F30" s="32"/>
      <c r="H30" s="11"/>
      <c r="I30" s="34"/>
      <c r="J30" s="11"/>
      <c r="K30" s="11"/>
      <c r="L30" s="11"/>
      <c r="M30" s="11"/>
      <c r="N30" s="11"/>
      <c r="O30" s="11"/>
      <c r="P30" s="11"/>
    </row>
    <row r="31" spans="1:16" ht="14.25" customHeight="1" thickBot="1" x14ac:dyDescent="0.35">
      <c r="B31" s="93" t="s">
        <v>163</v>
      </c>
      <c r="C31" s="94"/>
      <c r="D31" s="163">
        <f>D29+D30</f>
        <v>0.20429999999999998</v>
      </c>
      <c r="E31" s="33">
        <f>SUM(E29:E30)</f>
        <v>1695.69</v>
      </c>
      <c r="F31" s="29"/>
      <c r="H31" s="11"/>
      <c r="I31" s="11"/>
      <c r="J31" s="11"/>
      <c r="K31" s="11"/>
      <c r="L31" s="11"/>
      <c r="M31" s="11"/>
      <c r="N31" s="11"/>
      <c r="O31" s="11"/>
      <c r="P31" s="11"/>
    </row>
    <row r="32" spans="1:16" ht="14.25" customHeight="1" x14ac:dyDescent="0.3">
      <c r="B32" s="21" t="s">
        <v>250</v>
      </c>
      <c r="C32" s="22"/>
      <c r="D32" s="95">
        <f>D43*D31</f>
        <v>4.0451890319999996E-2</v>
      </c>
      <c r="E32" s="57">
        <f>D32*E25</f>
        <v>335.75068965599996</v>
      </c>
      <c r="F32" s="29"/>
      <c r="H32" s="11"/>
      <c r="I32" s="11"/>
      <c r="J32" s="11"/>
      <c r="K32" s="11"/>
      <c r="L32" s="11"/>
      <c r="M32" s="11"/>
      <c r="N32" s="11"/>
      <c r="O32" s="11"/>
      <c r="P32" s="11"/>
    </row>
    <row r="33" spans="1:16" ht="14.25" customHeight="1" thickBot="1" x14ac:dyDescent="0.35">
      <c r="B33" s="93" t="s">
        <v>28</v>
      </c>
      <c r="C33" s="94"/>
      <c r="D33" s="97">
        <f>SUM(D31+D32)</f>
        <v>0.24475189031999997</v>
      </c>
      <c r="E33" s="33">
        <f>SUM(E31:E32)</f>
        <v>2031.4406896559999</v>
      </c>
      <c r="F33" s="29"/>
      <c r="H33" s="34"/>
      <c r="I33" s="11"/>
      <c r="J33" s="11"/>
      <c r="K33" s="11"/>
      <c r="L33" s="11"/>
      <c r="M33" s="11"/>
      <c r="N33" s="11"/>
      <c r="O33" s="11"/>
      <c r="P33" s="11"/>
    </row>
    <row r="34" spans="1:16" ht="14.25" customHeight="1" x14ac:dyDescent="0.3">
      <c r="B34" s="212" t="s">
        <v>29</v>
      </c>
      <c r="C34" s="213"/>
      <c r="D34" s="213"/>
      <c r="E34" s="214"/>
      <c r="H34" s="11"/>
      <c r="I34" s="11"/>
      <c r="J34" s="11"/>
      <c r="K34" s="11"/>
      <c r="L34" s="11"/>
      <c r="M34" s="11"/>
      <c r="N34" s="11"/>
      <c r="O34" s="11"/>
      <c r="P34" s="11"/>
    </row>
    <row r="35" spans="1:16" ht="14.25" customHeight="1" x14ac:dyDescent="0.3">
      <c r="A35" s="2" t="s">
        <v>24</v>
      </c>
      <c r="B35" s="21" t="s">
        <v>30</v>
      </c>
      <c r="C35" s="22"/>
      <c r="D35" s="30">
        <v>0.05</v>
      </c>
      <c r="E35" s="57">
        <f>D35*E$25</f>
        <v>415</v>
      </c>
      <c r="F35" s="32"/>
      <c r="H35" s="11"/>
      <c r="I35" s="11"/>
      <c r="J35" s="11"/>
      <c r="K35" s="11"/>
      <c r="L35" s="11"/>
      <c r="M35" s="11"/>
      <c r="N35" s="11"/>
      <c r="O35" s="11"/>
      <c r="P35" s="11"/>
    </row>
    <row r="36" spans="1:16" ht="14.25" customHeight="1" x14ac:dyDescent="0.3">
      <c r="A36" s="2" t="s">
        <v>26</v>
      </c>
      <c r="B36" s="21" t="s">
        <v>31</v>
      </c>
      <c r="C36" s="22"/>
      <c r="D36" s="30">
        <v>2.5002400000000001E-2</v>
      </c>
      <c r="E36" s="57">
        <f>ROUND(D36*E$25,2)</f>
        <v>207.52</v>
      </c>
      <c r="F36" s="32"/>
      <c r="H36" s="34"/>
      <c r="I36" s="11"/>
      <c r="J36" s="11"/>
      <c r="K36" s="11"/>
      <c r="L36" s="11"/>
      <c r="M36" s="11"/>
      <c r="N36" s="11"/>
      <c r="O36" s="11"/>
      <c r="P36" s="11"/>
    </row>
    <row r="37" spans="1:16" ht="14.25" customHeight="1" x14ac:dyDescent="0.3">
      <c r="A37" s="2" t="s">
        <v>32</v>
      </c>
      <c r="B37" s="21" t="s">
        <v>33</v>
      </c>
      <c r="C37" s="22"/>
      <c r="D37" s="35">
        <v>0.01</v>
      </c>
      <c r="E37" s="57">
        <f t="shared" ref="E37:E42" si="0">D37*E$25</f>
        <v>83</v>
      </c>
      <c r="F37" s="32"/>
      <c r="H37" s="11"/>
      <c r="I37" s="11"/>
      <c r="J37" s="11"/>
      <c r="K37" s="11"/>
      <c r="L37" s="11"/>
      <c r="M37" s="11"/>
      <c r="N37" s="11"/>
      <c r="O37" s="11"/>
      <c r="P37" s="11"/>
    </row>
    <row r="38" spans="1:16" ht="14.25" customHeight="1" x14ac:dyDescent="0.3">
      <c r="A38" s="2" t="s">
        <v>34</v>
      </c>
      <c r="B38" s="21" t="s">
        <v>35</v>
      </c>
      <c r="C38" s="22"/>
      <c r="D38" s="30">
        <v>1.4999999999999999E-2</v>
      </c>
      <c r="E38" s="57">
        <f t="shared" si="0"/>
        <v>124.5</v>
      </c>
      <c r="F38" s="32"/>
      <c r="H38" s="11"/>
      <c r="I38" s="11"/>
      <c r="J38" s="11"/>
      <c r="K38" s="11"/>
      <c r="L38" s="11"/>
      <c r="M38" s="11"/>
      <c r="N38" s="11"/>
      <c r="O38" s="11"/>
      <c r="P38" s="11"/>
    </row>
    <row r="39" spans="1:16" ht="14.25" customHeight="1" x14ac:dyDescent="0.3">
      <c r="A39" s="2" t="s">
        <v>36</v>
      </c>
      <c r="B39" s="21" t="s">
        <v>37</v>
      </c>
      <c r="C39" s="22"/>
      <c r="D39" s="30">
        <v>0.01</v>
      </c>
      <c r="E39" s="57">
        <f t="shared" si="0"/>
        <v>83</v>
      </c>
      <c r="F39" s="32"/>
      <c r="H39" s="11"/>
      <c r="I39" s="11"/>
      <c r="J39" s="11"/>
      <c r="K39" s="11"/>
      <c r="L39" s="11"/>
      <c r="M39" s="11"/>
      <c r="N39" s="11"/>
      <c r="O39" s="11"/>
      <c r="P39" s="11"/>
    </row>
    <row r="40" spans="1:16" ht="14.25" customHeight="1" x14ac:dyDescent="0.3">
      <c r="A40" s="2" t="s">
        <v>38</v>
      </c>
      <c r="B40" s="21" t="s">
        <v>39</v>
      </c>
      <c r="C40" s="22"/>
      <c r="D40" s="30">
        <v>6.0000000000000001E-3</v>
      </c>
      <c r="E40" s="57">
        <f t="shared" si="0"/>
        <v>49.800000000000004</v>
      </c>
      <c r="F40" s="32"/>
      <c r="H40" s="11"/>
      <c r="I40" s="11"/>
      <c r="J40" s="11"/>
      <c r="K40" s="11"/>
      <c r="L40" s="11"/>
      <c r="M40" s="11"/>
      <c r="N40" s="11"/>
      <c r="O40" s="11"/>
      <c r="P40" s="11"/>
    </row>
    <row r="41" spans="1:16" ht="14.25" customHeight="1" x14ac:dyDescent="0.3">
      <c r="A41" s="2" t="s">
        <v>40</v>
      </c>
      <c r="B41" s="21" t="s">
        <v>41</v>
      </c>
      <c r="C41" s="22"/>
      <c r="D41" s="36">
        <v>2E-3</v>
      </c>
      <c r="E41" s="57">
        <f t="shared" si="0"/>
        <v>16.600000000000001</v>
      </c>
      <c r="F41" s="32"/>
      <c r="H41" s="11"/>
      <c r="I41" s="11"/>
      <c r="J41" s="11"/>
      <c r="K41" s="11"/>
      <c r="L41" s="11"/>
      <c r="M41" s="11"/>
      <c r="N41" s="11"/>
      <c r="O41" s="11"/>
      <c r="P41" s="11"/>
    </row>
    <row r="42" spans="1:16" ht="14.25" customHeight="1" x14ac:dyDescent="0.3">
      <c r="A42" s="2" t="s">
        <v>42</v>
      </c>
      <c r="B42" s="21" t="s">
        <v>43</v>
      </c>
      <c r="C42" s="22"/>
      <c r="D42" s="30">
        <v>0.08</v>
      </c>
      <c r="E42" s="57">
        <f t="shared" si="0"/>
        <v>664</v>
      </c>
      <c r="F42" s="32"/>
      <c r="H42" s="245"/>
      <c r="I42" s="246">
        <v>22</v>
      </c>
      <c r="J42" s="11"/>
      <c r="K42" s="11"/>
      <c r="L42" s="11"/>
      <c r="M42" s="11"/>
      <c r="N42" s="11"/>
      <c r="O42" s="11"/>
      <c r="P42" s="11"/>
    </row>
    <row r="43" spans="1:16" ht="14.25" customHeight="1" thickBot="1" x14ac:dyDescent="0.35">
      <c r="B43" s="215" t="s">
        <v>44</v>
      </c>
      <c r="C43" s="216"/>
      <c r="D43" s="37">
        <f>SUM(D35:D42)</f>
        <v>0.1980024</v>
      </c>
      <c r="E43" s="33">
        <f>SUM(E35:E42)</f>
        <v>1643.42</v>
      </c>
      <c r="F43" s="29"/>
      <c r="H43" s="245"/>
      <c r="I43" s="246"/>
      <c r="J43" s="34">
        <f>E43-H43</f>
        <v>1643.42</v>
      </c>
      <c r="K43" s="11"/>
      <c r="L43" s="11"/>
      <c r="M43" s="11"/>
      <c r="N43" s="11"/>
      <c r="O43" s="11"/>
      <c r="P43" s="11"/>
    </row>
    <row r="44" spans="1:16" ht="14.25" customHeight="1" x14ac:dyDescent="0.3">
      <c r="B44" s="212" t="s">
        <v>45</v>
      </c>
      <c r="C44" s="213"/>
      <c r="D44" s="213"/>
      <c r="E44" s="214"/>
      <c r="H44" s="245"/>
      <c r="I44" s="246"/>
      <c r="J44" s="11"/>
      <c r="K44" s="11"/>
      <c r="L44" s="11"/>
      <c r="M44" s="11"/>
      <c r="N44" s="11"/>
      <c r="O44" s="11"/>
      <c r="P44" s="11"/>
    </row>
    <row r="45" spans="1:16" ht="14.25" customHeight="1" x14ac:dyDescent="0.3">
      <c r="A45" s="2" t="s">
        <v>24</v>
      </c>
      <c r="B45" s="201" t="s">
        <v>46</v>
      </c>
      <c r="C45" s="202"/>
      <c r="D45" s="203"/>
      <c r="E45" s="57">
        <v>0</v>
      </c>
      <c r="F45" s="32"/>
      <c r="H45" s="38"/>
      <c r="I45" s="39">
        <v>5.5</v>
      </c>
      <c r="J45" s="11"/>
      <c r="K45" s="11"/>
      <c r="L45" s="11"/>
      <c r="M45" s="11"/>
      <c r="N45" s="11"/>
      <c r="O45" s="11"/>
      <c r="P45" s="11"/>
    </row>
    <row r="46" spans="1:16" ht="14.25" customHeight="1" x14ac:dyDescent="0.3">
      <c r="A46" s="2" t="s">
        <v>26</v>
      </c>
      <c r="B46" s="201" t="s">
        <v>47</v>
      </c>
      <c r="C46" s="202"/>
      <c r="D46" s="203"/>
      <c r="E46" s="57">
        <v>626.63699999999994</v>
      </c>
      <c r="F46" s="32"/>
      <c r="H46" s="38"/>
      <c r="I46" s="41"/>
      <c r="J46" s="11"/>
      <c r="K46" s="11"/>
      <c r="L46" s="70"/>
      <c r="M46" s="11"/>
      <c r="N46" s="11"/>
      <c r="O46" s="11"/>
      <c r="P46" s="11"/>
    </row>
    <row r="47" spans="1:16" ht="14.25" customHeight="1" x14ac:dyDescent="0.3">
      <c r="A47" s="2" t="s">
        <v>32</v>
      </c>
      <c r="B47" s="21" t="s">
        <v>48</v>
      </c>
      <c r="C47" s="22"/>
      <c r="D47" s="40"/>
      <c r="E47" s="57">
        <v>165</v>
      </c>
      <c r="F47" s="32"/>
      <c r="H47" s="38"/>
      <c r="I47" s="41"/>
      <c r="J47" s="11"/>
      <c r="K47" s="11"/>
      <c r="L47" s="11"/>
      <c r="M47" s="11"/>
      <c r="N47" s="11"/>
      <c r="O47" s="11"/>
      <c r="P47" s="11"/>
    </row>
    <row r="48" spans="1:16" ht="14.25" customHeight="1" x14ac:dyDescent="0.3">
      <c r="A48" s="2" t="s">
        <v>34</v>
      </c>
      <c r="B48" s="201" t="s">
        <v>20</v>
      </c>
      <c r="C48" s="202"/>
      <c r="D48" s="203"/>
      <c r="E48" s="31"/>
      <c r="F48" s="32"/>
      <c r="H48" s="38"/>
      <c r="I48" s="58"/>
      <c r="J48" s="11"/>
      <c r="K48" s="11"/>
      <c r="L48" s="11"/>
      <c r="M48" s="11"/>
      <c r="N48" s="11"/>
      <c r="O48" s="11"/>
      <c r="P48" s="11"/>
    </row>
    <row r="49" spans="1:17" ht="14.25" customHeight="1" thickBot="1" x14ac:dyDescent="0.35">
      <c r="B49" s="215" t="s">
        <v>49</v>
      </c>
      <c r="C49" s="217"/>
      <c r="D49" s="216">
        <v>0</v>
      </c>
      <c r="E49" s="33">
        <f>SUM(E45:E47)</f>
        <v>791.63699999999994</v>
      </c>
      <c r="F49" s="29"/>
      <c r="H49" s="38"/>
      <c r="I49" s="41"/>
      <c r="J49" s="11"/>
      <c r="K49" s="11"/>
      <c r="L49" s="11"/>
      <c r="M49" s="11"/>
      <c r="N49" s="11"/>
      <c r="O49" s="11"/>
      <c r="P49" s="11"/>
    </row>
    <row r="50" spans="1:17" ht="14.25" customHeight="1" thickBot="1" x14ac:dyDescent="0.35">
      <c r="B50" s="191" t="s">
        <v>50</v>
      </c>
      <c r="C50" s="192"/>
      <c r="D50" s="193"/>
      <c r="E50" s="28">
        <f>E43+E33+E49</f>
        <v>4466.4976896560001</v>
      </c>
      <c r="F50" s="29"/>
      <c r="H50" s="38"/>
      <c r="I50" s="41"/>
      <c r="J50" s="11"/>
      <c r="K50" s="11"/>
      <c r="L50" s="11"/>
      <c r="M50" s="11"/>
      <c r="N50" s="11"/>
      <c r="O50" s="11"/>
      <c r="P50" s="11"/>
    </row>
    <row r="51" spans="1:17" ht="14.25" customHeight="1" thickBot="1" x14ac:dyDescent="0.35">
      <c r="H51" s="38"/>
      <c r="I51" s="41"/>
      <c r="J51" s="11"/>
      <c r="K51" s="11"/>
      <c r="L51" s="11"/>
      <c r="M51" s="11"/>
      <c r="N51" s="11"/>
      <c r="O51" s="11"/>
      <c r="P51" s="11"/>
    </row>
    <row r="52" spans="1:17" ht="14.25" customHeight="1" thickBot="1" x14ac:dyDescent="0.35">
      <c r="B52" s="194" t="s">
        <v>51</v>
      </c>
      <c r="C52" s="195"/>
      <c r="D52" s="195"/>
      <c r="E52" s="196"/>
      <c r="F52" s="20"/>
      <c r="H52" s="38"/>
      <c r="I52" s="41"/>
      <c r="J52" s="11"/>
      <c r="K52" s="11"/>
      <c r="L52" s="11"/>
      <c r="M52" s="11"/>
      <c r="N52" s="11"/>
      <c r="O52" s="11"/>
      <c r="P52" s="11"/>
    </row>
    <row r="53" spans="1:17" ht="14.25" customHeight="1" x14ac:dyDescent="0.3">
      <c r="A53" s="2" t="s">
        <v>24</v>
      </c>
      <c r="B53" s="21" t="s">
        <v>52</v>
      </c>
      <c r="C53" s="21"/>
      <c r="D53" s="30">
        <v>4.2119999999999996E-3</v>
      </c>
      <c r="E53" s="57">
        <f t="shared" ref="E53:E58" si="1">D53*E$25</f>
        <v>34.959599999999995</v>
      </c>
      <c r="F53" s="32"/>
      <c r="H53" s="245" t="s">
        <v>53</v>
      </c>
      <c r="I53" s="247">
        <v>5.5500000000000001E-2</v>
      </c>
      <c r="J53" s="11"/>
      <c r="K53" s="11"/>
      <c r="L53" s="11"/>
      <c r="M53" s="11"/>
      <c r="N53" s="11"/>
      <c r="O53" s="11"/>
      <c r="P53" s="11"/>
    </row>
    <row r="54" spans="1:17" ht="14.25" customHeight="1" x14ac:dyDescent="0.3">
      <c r="A54" s="2" t="s">
        <v>26</v>
      </c>
      <c r="B54" s="21" t="s">
        <v>54</v>
      </c>
      <c r="C54" s="21"/>
      <c r="D54" s="30">
        <v>3.3695999999999997E-4</v>
      </c>
      <c r="E54" s="57">
        <f t="shared" si="1"/>
        <v>2.7967679999999997</v>
      </c>
      <c r="F54" s="32"/>
      <c r="H54" s="245"/>
      <c r="I54" s="247"/>
      <c r="J54" s="11">
        <v>8.33</v>
      </c>
      <c r="K54" s="11">
        <f>J54/12</f>
        <v>0.69416666666666671</v>
      </c>
      <c r="L54" s="11"/>
      <c r="M54" s="11"/>
      <c r="N54" s="11"/>
      <c r="O54" s="11"/>
      <c r="P54" s="11"/>
    </row>
    <row r="55" spans="1:17" ht="14.25" customHeight="1" x14ac:dyDescent="0.3">
      <c r="A55" s="2" t="s">
        <v>32</v>
      </c>
      <c r="B55" s="21" t="s">
        <v>55</v>
      </c>
      <c r="C55" s="21"/>
      <c r="D55" s="30">
        <v>0.02</v>
      </c>
      <c r="E55" s="57">
        <f t="shared" si="1"/>
        <v>166</v>
      </c>
      <c r="F55" s="32"/>
      <c r="H55" s="245" t="s">
        <v>56</v>
      </c>
      <c r="I55" s="246">
        <v>0.9</v>
      </c>
      <c r="J55" s="11">
        <v>2.78</v>
      </c>
      <c r="K55" s="11">
        <f>J55/12</f>
        <v>0.23166666666666666</v>
      </c>
      <c r="L55" s="11"/>
      <c r="M55" s="105"/>
      <c r="N55" s="11"/>
      <c r="O55" s="11"/>
      <c r="P55" s="11"/>
      <c r="Q55" s="104"/>
    </row>
    <row r="56" spans="1:17" ht="14.25" customHeight="1" x14ac:dyDescent="0.3">
      <c r="A56" s="2" t="s">
        <v>34</v>
      </c>
      <c r="B56" s="21" t="s">
        <v>57</v>
      </c>
      <c r="C56" s="21"/>
      <c r="D56" s="30">
        <v>1.9444444444444445E-2</v>
      </c>
      <c r="E56" s="57">
        <f t="shared" si="1"/>
        <v>161.38888888888889</v>
      </c>
      <c r="F56" s="32"/>
      <c r="H56" s="245"/>
      <c r="I56" s="246"/>
      <c r="J56" s="11"/>
      <c r="K56" s="11">
        <f>ROUND(SUM(K54:K55),2)</f>
        <v>0.93</v>
      </c>
      <c r="L56" s="11"/>
      <c r="M56" s="11"/>
      <c r="N56" s="11"/>
      <c r="O56" s="11"/>
      <c r="P56" s="11"/>
    </row>
    <row r="57" spans="1:17" ht="14.25" customHeight="1" x14ac:dyDescent="0.3">
      <c r="A57" s="2" t="s">
        <v>36</v>
      </c>
      <c r="B57" s="21" t="s">
        <v>58</v>
      </c>
      <c r="C57" s="22"/>
      <c r="D57" s="30">
        <v>2.8778244444444445E-3</v>
      </c>
      <c r="E57" s="57">
        <f t="shared" si="1"/>
        <v>23.885942888888891</v>
      </c>
      <c r="F57" s="32"/>
      <c r="H57" s="245"/>
      <c r="I57" s="246"/>
      <c r="J57" s="11"/>
      <c r="K57" s="11"/>
      <c r="L57" s="11"/>
      <c r="M57" s="11"/>
      <c r="N57" s="11"/>
      <c r="O57" s="11"/>
      <c r="P57" s="11"/>
    </row>
    <row r="58" spans="1:17" ht="14.25" customHeight="1" x14ac:dyDescent="0.3">
      <c r="A58" s="2" t="s">
        <v>38</v>
      </c>
      <c r="B58" s="21" t="s">
        <v>59</v>
      </c>
      <c r="C58" s="21"/>
      <c r="D58" s="30">
        <v>0.02</v>
      </c>
      <c r="E58" s="57">
        <f t="shared" si="1"/>
        <v>166</v>
      </c>
      <c r="F58" s="32"/>
      <c r="H58" s="38"/>
      <c r="I58" s="38"/>
      <c r="J58" s="11"/>
      <c r="K58" s="11"/>
      <c r="L58" s="11"/>
      <c r="M58" s="11"/>
      <c r="N58" s="11"/>
      <c r="O58" s="11"/>
      <c r="P58" s="11"/>
    </row>
    <row r="59" spans="1:17" ht="14.25" customHeight="1" thickBot="1" x14ac:dyDescent="0.35">
      <c r="B59" s="191" t="s">
        <v>60</v>
      </c>
      <c r="C59" s="192"/>
      <c r="D59" s="193"/>
      <c r="E59" s="28">
        <f>SUM(E53:E58)</f>
        <v>555.03119977777783</v>
      </c>
      <c r="F59" s="29"/>
      <c r="H59" s="38"/>
      <c r="I59" s="38"/>
      <c r="J59" s="11"/>
      <c r="K59" s="11"/>
      <c r="L59" s="11"/>
      <c r="M59" s="11"/>
      <c r="N59" s="11"/>
      <c r="O59" s="11"/>
      <c r="P59" s="11"/>
    </row>
    <row r="60" spans="1:17" ht="14.25" customHeight="1" thickBot="1" x14ac:dyDescent="0.35">
      <c r="H60" s="38"/>
      <c r="I60" s="38"/>
      <c r="J60" s="11"/>
      <c r="K60" s="11"/>
      <c r="L60" s="11"/>
      <c r="M60" s="11"/>
      <c r="N60" s="11"/>
      <c r="O60" s="11"/>
      <c r="P60" s="11"/>
    </row>
    <row r="61" spans="1:17" ht="14.25" customHeight="1" x14ac:dyDescent="0.3">
      <c r="B61" s="204" t="s">
        <v>75</v>
      </c>
      <c r="C61" s="205"/>
      <c r="D61" s="205"/>
      <c r="E61" s="206"/>
      <c r="F61" s="20"/>
      <c r="H61" s="38"/>
      <c r="I61" s="38"/>
      <c r="J61" s="11"/>
      <c r="K61" s="11"/>
      <c r="L61" s="11"/>
      <c r="M61" s="11"/>
      <c r="N61" s="11"/>
      <c r="O61" s="11"/>
      <c r="P61" s="11"/>
    </row>
    <row r="62" spans="1:17" ht="14.25" customHeight="1" x14ac:dyDescent="0.3">
      <c r="B62" s="207"/>
      <c r="C62" s="208"/>
      <c r="D62" s="208"/>
      <c r="E62" s="209"/>
      <c r="H62" s="11"/>
      <c r="I62" s="11"/>
      <c r="J62" s="11"/>
      <c r="K62" s="11"/>
      <c r="L62" s="11"/>
      <c r="M62" s="11"/>
      <c r="N62" s="11"/>
      <c r="O62" s="11"/>
      <c r="P62" s="11"/>
    </row>
    <row r="63" spans="1:17" ht="14.25" customHeight="1" x14ac:dyDescent="0.3">
      <c r="A63" s="2" t="s">
        <v>24</v>
      </c>
      <c r="B63" s="201" t="s">
        <v>76</v>
      </c>
      <c r="C63" s="203"/>
      <c r="D63" s="30">
        <v>9.2999999999999992E-3</v>
      </c>
      <c r="E63" s="57">
        <f t="shared" ref="E63:E68" si="2">D63*E$25</f>
        <v>77.19</v>
      </c>
      <c r="F63" s="32"/>
      <c r="H63" s="38"/>
      <c r="I63" s="38"/>
      <c r="J63" s="11"/>
      <c r="K63" s="11"/>
      <c r="L63" s="11"/>
      <c r="M63" s="11"/>
      <c r="N63" s="11"/>
      <c r="O63" s="11"/>
      <c r="P63" s="11"/>
    </row>
    <row r="64" spans="1:17" ht="14.25" customHeight="1" x14ac:dyDescent="0.3">
      <c r="A64" s="2" t="s">
        <v>26</v>
      </c>
      <c r="B64" s="101" t="s">
        <v>77</v>
      </c>
      <c r="C64" s="98"/>
      <c r="D64" s="30">
        <v>1.66E-2</v>
      </c>
      <c r="E64" s="57">
        <f t="shared" si="2"/>
        <v>137.78</v>
      </c>
      <c r="F64" s="32"/>
      <c r="H64" s="38" t="s">
        <v>78</v>
      </c>
      <c r="I64" s="39">
        <v>5.96</v>
      </c>
      <c r="J64" s="11"/>
      <c r="K64" s="11"/>
      <c r="L64" s="11"/>
      <c r="M64" s="78"/>
      <c r="N64" s="11"/>
      <c r="O64" s="11"/>
      <c r="P64" s="11"/>
    </row>
    <row r="65" spans="1:16" ht="14.25" customHeight="1" x14ac:dyDescent="0.3">
      <c r="A65" s="2" t="s">
        <v>32</v>
      </c>
      <c r="B65" s="101" t="s">
        <v>79</v>
      </c>
      <c r="C65" s="98"/>
      <c r="D65" s="30">
        <v>2.0000000000000001E-4</v>
      </c>
      <c r="E65" s="57">
        <f t="shared" si="2"/>
        <v>1.6600000000000001</v>
      </c>
      <c r="F65" s="32"/>
      <c r="H65" s="38" t="s">
        <v>80</v>
      </c>
      <c r="I65" s="42">
        <v>1.4999999999999999E-2</v>
      </c>
      <c r="J65" s="11"/>
      <c r="K65" s="11"/>
      <c r="L65" s="11"/>
      <c r="M65" s="11"/>
      <c r="N65" s="11"/>
      <c r="O65" s="11"/>
      <c r="P65" s="11"/>
    </row>
    <row r="66" spans="1:16" ht="14.25" customHeight="1" x14ac:dyDescent="0.3">
      <c r="A66" s="2" t="s">
        <v>34</v>
      </c>
      <c r="B66" s="101" t="s">
        <v>81</v>
      </c>
      <c r="C66" s="98"/>
      <c r="D66" s="30">
        <v>2.7000000000000001E-3</v>
      </c>
      <c r="E66" s="57">
        <f t="shared" si="2"/>
        <v>22.41</v>
      </c>
      <c r="F66" s="32"/>
      <c r="H66" s="38" t="s">
        <v>82</v>
      </c>
      <c r="I66" s="42">
        <v>1.8599999999999998E-2</v>
      </c>
      <c r="J66" s="11"/>
      <c r="K66" s="11"/>
      <c r="L66" s="11"/>
      <c r="M66" s="11"/>
      <c r="N66" s="78"/>
      <c r="O66" s="11"/>
      <c r="P66" s="11"/>
    </row>
    <row r="67" spans="1:16" ht="14.25" customHeight="1" x14ac:dyDescent="0.3">
      <c r="A67" s="2" t="s">
        <v>36</v>
      </c>
      <c r="B67" s="101" t="s">
        <v>83</v>
      </c>
      <c r="C67" s="98"/>
      <c r="D67" s="30">
        <v>2.8E-3</v>
      </c>
      <c r="E67" s="57">
        <f t="shared" si="2"/>
        <v>23.24</v>
      </c>
      <c r="F67" s="32"/>
      <c r="H67" s="245" t="s">
        <v>84</v>
      </c>
      <c r="I67" s="247">
        <v>0.02</v>
      </c>
      <c r="J67" s="11"/>
      <c r="K67" s="105"/>
      <c r="L67" s="11"/>
      <c r="M67" s="11"/>
      <c r="N67" s="11"/>
      <c r="O67" s="11"/>
      <c r="P67" s="11"/>
    </row>
    <row r="68" spans="1:16" ht="14.25" customHeight="1" x14ac:dyDescent="0.3">
      <c r="A68" s="2" t="s">
        <v>38</v>
      </c>
      <c r="B68" s="101" t="s">
        <v>20</v>
      </c>
      <c r="C68" s="98"/>
      <c r="D68" s="30">
        <v>0</v>
      </c>
      <c r="E68" s="57">
        <f t="shared" si="2"/>
        <v>0</v>
      </c>
      <c r="F68" s="32"/>
      <c r="H68" s="245"/>
      <c r="I68" s="247"/>
      <c r="J68" s="11"/>
      <c r="K68" s="11"/>
      <c r="L68" s="11"/>
      <c r="M68" s="11"/>
      <c r="N68" s="11"/>
      <c r="O68" s="11"/>
      <c r="P68" s="11"/>
    </row>
    <row r="69" spans="1:16" ht="14.25" customHeight="1" x14ac:dyDescent="0.3">
      <c r="B69" s="102" t="s">
        <v>164</v>
      </c>
      <c r="C69" s="96"/>
      <c r="D69" s="100">
        <v>0.1056</v>
      </c>
      <c r="E69" s="99">
        <f>SUM(E63:E68)</f>
        <v>262.27999999999997</v>
      </c>
      <c r="F69" s="32"/>
      <c r="H69" s="92"/>
      <c r="I69" s="42"/>
      <c r="J69" s="11"/>
      <c r="K69" s="11"/>
      <c r="L69" s="11"/>
      <c r="M69" s="11"/>
      <c r="N69" s="11"/>
      <c r="O69" s="11"/>
      <c r="P69" s="11"/>
    </row>
    <row r="70" spans="1:16" ht="14.25" customHeight="1" x14ac:dyDescent="0.3">
      <c r="B70" s="201" t="s">
        <v>165</v>
      </c>
      <c r="C70" s="202"/>
      <c r="D70" s="203"/>
      <c r="E70" s="57">
        <f>D43*E69</f>
        <v>51.932069471999995</v>
      </c>
      <c r="F70" s="32"/>
      <c r="H70" s="92"/>
      <c r="I70" s="42"/>
      <c r="J70" s="11"/>
      <c r="K70" s="11"/>
      <c r="L70" s="11"/>
      <c r="M70" s="11"/>
      <c r="N70" s="11"/>
      <c r="O70" s="11"/>
      <c r="P70" s="11"/>
    </row>
    <row r="71" spans="1:16" ht="14.25" customHeight="1" thickBot="1" x14ac:dyDescent="0.35">
      <c r="B71" s="210" t="s">
        <v>86</v>
      </c>
      <c r="C71" s="211"/>
      <c r="D71" s="211"/>
      <c r="E71" s="103">
        <f>SUM(E69:E70)</f>
        <v>314.21206947199994</v>
      </c>
      <c r="F71" s="29"/>
      <c r="H71" s="43"/>
      <c r="I71" s="11"/>
      <c r="J71" s="11"/>
      <c r="K71" s="11"/>
      <c r="L71" s="11"/>
      <c r="M71" s="11"/>
      <c r="N71" s="11"/>
      <c r="O71" s="11"/>
      <c r="P71" s="11"/>
    </row>
    <row r="72" spans="1:16" ht="12.75" customHeight="1" thickBot="1" x14ac:dyDescent="0.35">
      <c r="H72" s="43"/>
      <c r="I72" s="11"/>
      <c r="J72" s="11"/>
      <c r="K72" s="11"/>
      <c r="L72" s="11"/>
      <c r="M72" s="11"/>
      <c r="N72" s="11"/>
      <c r="O72" s="11"/>
      <c r="P72" s="11"/>
    </row>
    <row r="73" spans="1:16" ht="14.25" customHeight="1" thickBot="1" x14ac:dyDescent="0.35">
      <c r="B73" s="194" t="s">
        <v>61</v>
      </c>
      <c r="C73" s="195"/>
      <c r="D73" s="195"/>
      <c r="E73" s="196"/>
      <c r="F73" s="20"/>
      <c r="H73" s="34"/>
      <c r="I73" s="11"/>
      <c r="J73" s="11"/>
      <c r="K73" s="11"/>
      <c r="L73" s="11"/>
      <c r="M73" s="11"/>
      <c r="N73" s="11"/>
      <c r="O73" s="11"/>
      <c r="P73" s="11"/>
    </row>
    <row r="74" spans="1:16" ht="14.25" customHeight="1" x14ac:dyDescent="0.3">
      <c r="A74" s="2" t="s">
        <v>24</v>
      </c>
      <c r="B74" s="201" t="s">
        <v>104</v>
      </c>
      <c r="C74" s="202"/>
      <c r="D74" s="203"/>
      <c r="E74" s="57">
        <v>50</v>
      </c>
      <c r="F74" s="24"/>
      <c r="H74" s="11"/>
      <c r="I74" s="11"/>
      <c r="J74" s="11"/>
      <c r="K74" s="11"/>
      <c r="L74" s="11"/>
      <c r="M74" s="11"/>
      <c r="N74" s="11"/>
      <c r="O74" s="11"/>
      <c r="P74" s="11"/>
    </row>
    <row r="75" spans="1:16" ht="14.25" customHeight="1" x14ac:dyDescent="0.3">
      <c r="A75" s="2" t="s">
        <v>26</v>
      </c>
      <c r="B75" s="25" t="s">
        <v>96</v>
      </c>
      <c r="C75" s="26"/>
      <c r="D75" s="44"/>
      <c r="E75" s="57">
        <v>0</v>
      </c>
      <c r="F75" s="24"/>
      <c r="H75" s="11"/>
      <c r="I75" s="11"/>
      <c r="J75" s="11"/>
      <c r="K75" s="11"/>
      <c r="L75" s="11"/>
      <c r="M75" s="11"/>
      <c r="N75" s="11"/>
      <c r="O75" s="11"/>
      <c r="P75" s="11"/>
    </row>
    <row r="76" spans="1:16" ht="14.25" customHeight="1" x14ac:dyDescent="0.3">
      <c r="A76" s="2" t="s">
        <v>32</v>
      </c>
      <c r="B76" s="25" t="s">
        <v>62</v>
      </c>
      <c r="C76" s="26"/>
      <c r="D76" s="44"/>
      <c r="E76" s="57">
        <v>90</v>
      </c>
      <c r="F76" s="24"/>
      <c r="H76" s="11"/>
      <c r="I76" s="11"/>
      <c r="J76" s="11"/>
      <c r="K76" s="11"/>
      <c r="L76" s="11"/>
      <c r="M76" s="11"/>
      <c r="N76" s="11"/>
      <c r="O76" s="11"/>
      <c r="P76" s="11"/>
    </row>
    <row r="77" spans="1:16" ht="14.25" customHeight="1" x14ac:dyDescent="0.3">
      <c r="B77" s="25" t="s">
        <v>101</v>
      </c>
      <c r="C77" s="26"/>
      <c r="D77" s="44"/>
      <c r="E77" s="57">
        <v>0</v>
      </c>
      <c r="F77" s="24"/>
      <c r="H77" s="11"/>
      <c r="I77" s="11"/>
      <c r="J77" s="11"/>
      <c r="K77" s="11"/>
      <c r="L77" s="11"/>
      <c r="M77" s="11"/>
      <c r="N77" s="11"/>
      <c r="O77" s="11"/>
      <c r="P77" s="11"/>
    </row>
    <row r="78" spans="1:16" ht="14.25" customHeight="1" x14ac:dyDescent="0.3">
      <c r="B78" s="25" t="s">
        <v>97</v>
      </c>
      <c r="C78" s="26"/>
      <c r="D78" s="44"/>
      <c r="E78" s="57">
        <v>0</v>
      </c>
      <c r="F78" s="24"/>
      <c r="H78" s="11"/>
      <c r="I78" s="11"/>
      <c r="J78" s="11"/>
      <c r="K78" s="11"/>
      <c r="L78" s="11"/>
      <c r="M78" s="11"/>
      <c r="N78" s="11"/>
      <c r="O78" s="11"/>
      <c r="P78" s="11"/>
    </row>
    <row r="79" spans="1:16" ht="14.25" customHeight="1" x14ac:dyDescent="0.3">
      <c r="A79" s="2" t="s">
        <v>34</v>
      </c>
      <c r="B79" s="25" t="s">
        <v>166</v>
      </c>
      <c r="C79" s="26"/>
      <c r="D79" s="44"/>
      <c r="E79" s="57">
        <v>0</v>
      </c>
      <c r="F79" s="24"/>
      <c r="H79" s="11"/>
      <c r="I79" s="11"/>
      <c r="J79" s="11"/>
      <c r="L79" s="11"/>
      <c r="M79" s="11"/>
      <c r="N79" s="11"/>
      <c r="O79" s="11"/>
      <c r="P79" s="11"/>
    </row>
    <row r="80" spans="1:16" ht="14.25" customHeight="1" thickBot="1" x14ac:dyDescent="0.35">
      <c r="B80" s="191" t="s">
        <v>63</v>
      </c>
      <c r="C80" s="192"/>
      <c r="D80" s="193"/>
      <c r="E80" s="28">
        <f>SUM(E74:E79)</f>
        <v>140</v>
      </c>
      <c r="F80" s="29"/>
      <c r="H80" s="11"/>
      <c r="I80" s="11"/>
      <c r="J80" s="11"/>
      <c r="L80" s="11"/>
      <c r="M80" s="11"/>
      <c r="N80" s="11"/>
      <c r="O80" s="11"/>
      <c r="P80" s="11"/>
    </row>
    <row r="81" spans="1:16" ht="14.25" customHeight="1" thickBot="1" x14ac:dyDescent="0.35">
      <c r="H81" s="11"/>
      <c r="I81" s="11"/>
      <c r="J81" s="11"/>
      <c r="L81" s="11"/>
      <c r="M81" s="11"/>
      <c r="N81" s="11"/>
      <c r="O81" s="11"/>
      <c r="P81" s="11"/>
    </row>
    <row r="82" spans="1:16" ht="14.25" customHeight="1" thickBot="1" x14ac:dyDescent="0.35">
      <c r="B82" s="194" t="s">
        <v>64</v>
      </c>
      <c r="C82" s="195"/>
      <c r="D82" s="195"/>
      <c r="E82" s="196"/>
      <c r="F82" s="20"/>
      <c r="H82" s="11"/>
      <c r="I82" s="11"/>
      <c r="J82" s="11"/>
      <c r="L82" s="11"/>
      <c r="M82" s="11"/>
      <c r="N82" s="11"/>
      <c r="O82" s="11"/>
      <c r="P82" s="11"/>
    </row>
    <row r="83" spans="1:16" ht="14.25" customHeight="1" x14ac:dyDescent="0.3">
      <c r="A83" s="2" t="s">
        <v>24</v>
      </c>
      <c r="B83" s="45" t="s">
        <v>65</v>
      </c>
      <c r="C83" s="46"/>
      <c r="D83" s="35">
        <f>'1'!D83</f>
        <v>0</v>
      </c>
      <c r="E83" s="57">
        <f>D83*(E80+E71+E59+E50+E25)</f>
        <v>0</v>
      </c>
      <c r="F83" s="32"/>
      <c r="H83" s="11"/>
      <c r="I83" s="161"/>
      <c r="J83" s="11"/>
      <c r="K83" s="54"/>
      <c r="L83" s="11"/>
      <c r="M83" s="11"/>
      <c r="N83" s="11"/>
      <c r="O83" s="34"/>
      <c r="P83" s="11"/>
    </row>
    <row r="84" spans="1:16" ht="14.25" customHeight="1" x14ac:dyDescent="0.3">
      <c r="A84" s="2" t="s">
        <v>26</v>
      </c>
      <c r="B84" s="21" t="s">
        <v>66</v>
      </c>
      <c r="C84" s="22"/>
      <c r="D84" s="35">
        <f>'1'!D84</f>
        <v>-1.3677647119945452E-2</v>
      </c>
      <c r="E84" s="57">
        <f>D84*(E83+E80+E71+E59+E50+E25)</f>
        <v>-188.41972365169224</v>
      </c>
      <c r="F84" s="32"/>
      <c r="H84" s="34"/>
      <c r="I84" s="34"/>
      <c r="J84" s="11"/>
      <c r="K84" s="162"/>
      <c r="L84" s="11"/>
      <c r="M84" s="11"/>
      <c r="N84" s="11"/>
      <c r="O84" s="11"/>
      <c r="P84" s="11"/>
    </row>
    <row r="85" spans="1:16" ht="14.25" customHeight="1" x14ac:dyDescent="0.3">
      <c r="B85" s="21" t="s">
        <v>67</v>
      </c>
      <c r="C85" s="22"/>
      <c r="D85" s="30">
        <v>6.5000000000000006E-3</v>
      </c>
      <c r="E85" s="57">
        <f>D85*(E84+E83+E80+E71+E59+E50+E25)</f>
        <v>88.317588029151565</v>
      </c>
      <c r="F85" s="32"/>
      <c r="H85" s="34"/>
      <c r="I85" s="34"/>
      <c r="J85" s="11"/>
      <c r="L85" s="11"/>
      <c r="M85" s="11"/>
      <c r="N85" s="11"/>
      <c r="O85" s="34"/>
      <c r="P85" s="11"/>
    </row>
    <row r="86" spans="1:16" ht="14.25" customHeight="1" x14ac:dyDescent="0.3">
      <c r="B86" s="47" t="s">
        <v>68</v>
      </c>
      <c r="C86" s="48"/>
      <c r="D86" s="30">
        <v>0.03</v>
      </c>
      <c r="E86" s="57">
        <f>D86*(E83+E85+E84+E80+E71+E59+E50+E25)</f>
        <v>410.26916469849704</v>
      </c>
      <c r="F86" s="32"/>
      <c r="H86" s="11"/>
      <c r="I86" s="11"/>
      <c r="J86" s="11"/>
      <c r="L86" s="11"/>
      <c r="M86" s="11"/>
      <c r="N86" s="11"/>
      <c r="O86" s="34"/>
      <c r="P86" s="11"/>
    </row>
    <row r="87" spans="1:16" ht="14.25" customHeight="1" x14ac:dyDescent="0.3">
      <c r="B87" s="21" t="s">
        <v>69</v>
      </c>
      <c r="C87" s="22"/>
      <c r="D87" s="35">
        <v>0.05</v>
      </c>
      <c r="E87" s="57">
        <f>D87*(E84+E83+E86+E85+E80+E71+E59+E50+E25)</f>
        <v>704.29539939908682</v>
      </c>
      <c r="F87" s="32"/>
      <c r="H87" s="11"/>
      <c r="I87" s="11"/>
      <c r="J87" s="11"/>
      <c r="L87" s="11"/>
      <c r="M87" s="11"/>
      <c r="N87" s="11"/>
      <c r="O87" s="34"/>
      <c r="P87" s="11"/>
    </row>
    <row r="88" spans="1:16" ht="14.25" customHeight="1" x14ac:dyDescent="0.3">
      <c r="B88" s="25" t="s">
        <v>87</v>
      </c>
      <c r="C88" s="26"/>
      <c r="D88" s="35">
        <v>3.5999999999999997E-2</v>
      </c>
      <c r="E88" s="57">
        <f>D88*(E84+E85+E87+E86+E83+E71+E59+E50+E25)</f>
        <v>527.40732194570955</v>
      </c>
      <c r="F88" s="32"/>
      <c r="H88" s="11"/>
      <c r="I88" s="11"/>
      <c r="J88" s="11"/>
      <c r="L88" s="11"/>
      <c r="M88" s="11"/>
      <c r="N88" s="11"/>
      <c r="O88" s="34"/>
      <c r="P88" s="11"/>
    </row>
    <row r="89" spans="1:16" ht="14.25" customHeight="1" thickBot="1" x14ac:dyDescent="0.35">
      <c r="B89" s="191" t="s">
        <v>70</v>
      </c>
      <c r="C89" s="192"/>
      <c r="D89" s="193"/>
      <c r="E89" s="49">
        <f>SUM(E83:E88)</f>
        <v>1541.8697504207528</v>
      </c>
      <c r="F89" s="29"/>
      <c r="H89" s="11"/>
      <c r="I89" s="11"/>
      <c r="J89" s="11"/>
      <c r="L89" s="11"/>
      <c r="M89" s="11"/>
      <c r="N89" s="11"/>
      <c r="O89" s="34"/>
      <c r="P89" s="11"/>
    </row>
    <row r="90" spans="1:16" ht="14.25" customHeight="1" thickBot="1" x14ac:dyDescent="0.35">
      <c r="H90" s="11"/>
      <c r="I90" s="11"/>
      <c r="L90" s="11"/>
      <c r="M90" s="11"/>
      <c r="N90" s="11"/>
      <c r="O90" s="11"/>
      <c r="P90" s="11"/>
    </row>
    <row r="91" spans="1:16" ht="14.25" customHeight="1" thickBot="1" x14ac:dyDescent="0.35">
      <c r="B91" s="197" t="s">
        <v>71</v>
      </c>
      <c r="C91" s="198"/>
      <c r="D91" s="198"/>
      <c r="E91" s="50">
        <f>SUM(E89+E80+E71+E59+E50+E25)</f>
        <v>15317.610709326531</v>
      </c>
      <c r="F91" s="29"/>
      <c r="H91" s="54"/>
      <c r="J91" s="11"/>
      <c r="L91" s="11"/>
      <c r="M91" s="11"/>
      <c r="N91" s="11"/>
      <c r="O91" s="11"/>
      <c r="P91" s="11"/>
    </row>
    <row r="92" spans="1:16" ht="14.25" customHeight="1" thickBot="1" x14ac:dyDescent="0.35">
      <c r="H92" s="11"/>
      <c r="I92" s="11"/>
    </row>
    <row r="93" spans="1:16" ht="14.25" customHeight="1" thickBot="1" x14ac:dyDescent="0.35">
      <c r="B93" s="199" t="s">
        <v>72</v>
      </c>
      <c r="C93" s="200"/>
      <c r="D93" s="200"/>
      <c r="E93" s="51">
        <f>E91*E13</f>
        <v>15317.610709326531</v>
      </c>
      <c r="F93" s="29"/>
      <c r="H93" s="54"/>
    </row>
    <row r="94" spans="1:16" ht="14.25" customHeight="1" x14ac:dyDescent="0.3">
      <c r="B94" s="10"/>
      <c r="C94" s="10"/>
      <c r="D94" s="52"/>
      <c r="E94" s="9"/>
      <c r="F94" s="53"/>
      <c r="G94" s="53"/>
      <c r="H94" s="53"/>
    </row>
    <row r="95" spans="1:16" ht="14.25" customHeight="1" x14ac:dyDescent="0.3">
      <c r="M95" s="54"/>
    </row>
  </sheetData>
  <mergeCells count="49">
    <mergeCell ref="B93:D93"/>
    <mergeCell ref="B73:E73"/>
    <mergeCell ref="B74:D74"/>
    <mergeCell ref="B80:D80"/>
    <mergeCell ref="B82:E82"/>
    <mergeCell ref="B89:D89"/>
    <mergeCell ref="B91:D91"/>
    <mergeCell ref="B71:D71"/>
    <mergeCell ref="H53:H54"/>
    <mergeCell ref="I53:I54"/>
    <mergeCell ref="H55:H57"/>
    <mergeCell ref="I55:I57"/>
    <mergeCell ref="B59:D59"/>
    <mergeCell ref="B61:E61"/>
    <mergeCell ref="B62:E62"/>
    <mergeCell ref="B63:C63"/>
    <mergeCell ref="H67:H68"/>
    <mergeCell ref="I67:I68"/>
    <mergeCell ref="B70:D70"/>
    <mergeCell ref="B52:E52"/>
    <mergeCell ref="B28:E28"/>
    <mergeCell ref="B34:E34"/>
    <mergeCell ref="H42:H44"/>
    <mergeCell ref="I42:I44"/>
    <mergeCell ref="B43:C43"/>
    <mergeCell ref="B44:E44"/>
    <mergeCell ref="B45:D45"/>
    <mergeCell ref="B46:D46"/>
    <mergeCell ref="B48:D48"/>
    <mergeCell ref="B49:D49"/>
    <mergeCell ref="B50:D50"/>
    <mergeCell ref="B27:E27"/>
    <mergeCell ref="B10:E10"/>
    <mergeCell ref="B11:C11"/>
    <mergeCell ref="B12:D12"/>
    <mergeCell ref="B13:C13"/>
    <mergeCell ref="B15:E15"/>
    <mergeCell ref="C16:D16"/>
    <mergeCell ref="C17:D17"/>
    <mergeCell ref="C18:D18"/>
    <mergeCell ref="C19:D19"/>
    <mergeCell ref="B21:E21"/>
    <mergeCell ref="B25:D25"/>
    <mergeCell ref="B8:D8"/>
    <mergeCell ref="B2:E2"/>
    <mergeCell ref="B4:E4"/>
    <mergeCell ref="B5:D5"/>
    <mergeCell ref="B6:D6"/>
    <mergeCell ref="B7:D7"/>
  </mergeCells>
  <dataValidations count="10">
    <dataValidation allowBlank="1" showInputMessage="1" showErrorMessage="1" errorTitle="Valor inválido" error="Mínimo aceito = 2%_x000a_Máximo aceito = 5%" sqref="D88" xr:uid="{99710755-64BC-4F07-954B-90428A1A088A}"/>
    <dataValidation operator="lessThanOrEqual" showInputMessage="1" errorTitle="Valor inválido" error="Máximo aceito = 5%" sqref="D83" xr:uid="{83405D33-1250-4695-AFCC-88DF490608D7}"/>
    <dataValidation type="decimal" allowBlank="1" showInputMessage="1" showErrorMessage="1" errorTitle="Valor inválido" error="Mínimo aceito = 2%_x000a_Máximo aceito = 5%" sqref="D87" xr:uid="{03BFD9E7-F307-4D68-B26D-B4AA65D6582E}">
      <formula1>0.02</formula1>
      <formula2>0.05</formula2>
    </dataValidation>
    <dataValidation type="decimal" operator="lessThanOrEqual" allowBlank="1" showInputMessage="1" showErrorMessage="1" errorTitle="Valor inválido" error="Máximo aceito = 6%" sqref="D41 D37" xr:uid="{B8C6D156-2B7E-4809-9EA5-9E61B34FE1D7}">
      <formula1>0.06</formula1>
    </dataValidation>
    <dataValidation type="decimal" operator="lessThanOrEqual" allowBlank="1" showInputMessage="1" showErrorMessage="1" errorTitle="Valor inválido" error="Deve ser igual ou inferior a 2,00% (Ref.: IBGE)" sqref="I67" xr:uid="{596B7FFE-30FE-4074-BD70-B9BB93150E4E}">
      <formula1>0.02</formula1>
    </dataValidation>
    <dataValidation type="decimal" operator="lessThanOrEqual" allowBlank="1" showInputMessage="1" showErrorMessage="1" errorTitle="Valor inválido" error="Deve ser igual ou inferior a 8,00% (Ref.: IBGE)" sqref="I66" xr:uid="{391075A9-12DE-49D8-B2B3-D3C1B328FF24}">
      <formula1>0.08</formula1>
    </dataValidation>
    <dataValidation type="decimal" operator="lessThanOrEqual" allowBlank="1" showInputMessage="1" showErrorMessage="1" errorTitle="Valor inválido" error="Deve ser igual ou inferior a 1,50% (Ref.: IBGE)" sqref="I65" xr:uid="{DAF72573-A87D-4125-8E6C-03CE938663EE}">
      <formula1>0.015</formula1>
    </dataValidation>
    <dataValidation type="decimal" operator="lessThanOrEqual" allowBlank="1" showInputMessage="1" showErrorMessage="1" errorTitle="Valor inválido" error="Deve ser igual ou inferior a 5,55 (Ref.: TCU)" sqref="I53" xr:uid="{96D21425-1749-4A5A-9D1B-3E51EEC67113}">
      <formula1>0.0555</formula1>
    </dataValidation>
    <dataValidation type="decimal" operator="lessThanOrEqual" allowBlank="1" showInputMessage="1" showErrorMessage="1" errorTitle="Valor inválido" error="Deve ser igual ou inferior a 5,96 (Ref.: IBGE)" sqref="I64" xr:uid="{33962406-80FC-4C5C-BDED-2DE7AE08F6A0}">
      <formula1>5.96</formula1>
    </dataValidation>
    <dataValidation type="list" allowBlank="1" showInputMessage="1" showErrorMessage="1" sqref="H13" xr:uid="{3FFDBDCC-7340-4076-A27C-B4AE6CAB7797}">
      <formula1>$J$2:$J$3</formula1>
    </dataValidation>
  </dataValidations>
  <pageMargins left="0.511811024" right="0.511811024" top="0.78740157499999996" bottom="0.78740157499999996" header="0.31496062000000002" footer="0.31496062000000002"/>
  <pageSetup paperSize="9" scale="56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54EBF-EB85-412A-8176-ABF5E7F0D6DF}">
  <sheetPr codeName="Planilha8">
    <pageSetUpPr fitToPage="1"/>
  </sheetPr>
  <dimension ref="A1:Q95"/>
  <sheetViews>
    <sheetView topLeftCell="A58" zoomScaleNormal="100" workbookViewId="0">
      <selection activeCell="D64" sqref="D64"/>
    </sheetView>
  </sheetViews>
  <sheetFormatPr defaultColWidth="9.109375" defaultRowHeight="11.4" x14ac:dyDescent="0.3"/>
  <cols>
    <col min="1" max="1" width="1.6640625" style="2" customWidth="1"/>
    <col min="2" max="2" width="13.6640625" style="1" customWidth="1"/>
    <col min="3" max="3" width="59.44140625" style="1" customWidth="1"/>
    <col min="4" max="4" width="12.109375" style="1" customWidth="1"/>
    <col min="5" max="5" width="15.44140625" style="1" bestFit="1" customWidth="1"/>
    <col min="6" max="6" width="1.6640625" style="1" customWidth="1"/>
    <col min="7" max="7" width="1.6640625" style="2" customWidth="1"/>
    <col min="8" max="8" width="18.33203125" style="2" customWidth="1"/>
    <col min="9" max="9" width="11.6640625" style="2" bestFit="1" customWidth="1"/>
    <col min="10" max="10" width="9.109375" style="2" customWidth="1"/>
    <col min="11" max="11" width="27.109375" style="2" customWidth="1"/>
    <col min="12" max="12" width="9.109375" style="2" customWidth="1"/>
    <col min="13" max="13" width="18.5546875" style="2" customWidth="1"/>
    <col min="14" max="14" width="13.109375" style="2" customWidth="1"/>
    <col min="15" max="19" width="9.109375" style="2" customWidth="1"/>
    <col min="20" max="16384" width="9.109375" style="2"/>
  </cols>
  <sheetData>
    <row r="1" spans="2:16" ht="14.25" customHeight="1" thickBot="1" x14ac:dyDescent="0.35"/>
    <row r="2" spans="2:16" s="1" customFormat="1" ht="22.5" customHeight="1" thickBot="1" x14ac:dyDescent="0.35">
      <c r="B2" s="239" t="s">
        <v>73</v>
      </c>
      <c r="C2" s="240"/>
      <c r="D2" s="240"/>
      <c r="E2" s="241"/>
      <c r="G2" s="3"/>
      <c r="J2" s="3"/>
    </row>
    <row r="3" spans="2:16" ht="14.25" customHeight="1" thickBot="1" x14ac:dyDescent="0.35">
      <c r="J3" s="3"/>
    </row>
    <row r="4" spans="2:16" ht="14.25" customHeight="1" x14ac:dyDescent="0.3">
      <c r="B4" s="218" t="s">
        <v>2</v>
      </c>
      <c r="C4" s="219"/>
      <c r="D4" s="219"/>
      <c r="E4" s="220"/>
      <c r="J4" s="3"/>
    </row>
    <row r="5" spans="2:16" ht="14.25" customHeight="1" x14ac:dyDescent="0.3">
      <c r="B5" s="242" t="s">
        <v>3</v>
      </c>
      <c r="C5" s="243"/>
      <c r="D5" s="244"/>
      <c r="E5" s="4"/>
      <c r="J5" s="3"/>
    </row>
    <row r="6" spans="2:16" ht="14.25" customHeight="1" x14ac:dyDescent="0.3">
      <c r="B6" s="201" t="s">
        <v>4</v>
      </c>
      <c r="C6" s="202"/>
      <c r="D6" s="203"/>
      <c r="E6" s="5" t="s">
        <v>5</v>
      </c>
      <c r="J6" s="3"/>
    </row>
    <row r="7" spans="2:16" ht="14.25" customHeight="1" x14ac:dyDescent="0.3">
      <c r="B7" s="201" t="s">
        <v>6</v>
      </c>
      <c r="C7" s="202"/>
      <c r="D7" s="203"/>
      <c r="E7" s="5" t="s">
        <v>148</v>
      </c>
      <c r="J7" s="3"/>
    </row>
    <row r="8" spans="2:16" ht="14.25" customHeight="1" thickBot="1" x14ac:dyDescent="0.35">
      <c r="B8" s="236" t="s">
        <v>7</v>
      </c>
      <c r="C8" s="237"/>
      <c r="D8" s="238"/>
      <c r="E8" s="6">
        <v>12</v>
      </c>
      <c r="J8" s="3"/>
    </row>
    <row r="9" spans="2:16" ht="14.25" customHeight="1" thickBot="1" x14ac:dyDescent="0.35">
      <c r="J9" s="3"/>
    </row>
    <row r="10" spans="2:16" ht="14.25" customHeight="1" thickBot="1" x14ac:dyDescent="0.35">
      <c r="B10" s="218" t="s">
        <v>8</v>
      </c>
      <c r="C10" s="219"/>
      <c r="D10" s="219"/>
      <c r="E10" s="220"/>
      <c r="J10" s="3"/>
    </row>
    <row r="11" spans="2:16" s="10" customFormat="1" ht="33" customHeight="1" x14ac:dyDescent="0.3">
      <c r="B11" s="221" t="s">
        <v>9</v>
      </c>
      <c r="C11" s="222"/>
      <c r="D11" s="7" t="s">
        <v>10</v>
      </c>
      <c r="E11" s="8" t="s">
        <v>11</v>
      </c>
      <c r="F11" s="9"/>
      <c r="I11" s="11"/>
      <c r="J11" s="11"/>
      <c r="K11" s="11"/>
      <c r="L11" s="11"/>
      <c r="M11" s="11">
        <f>'1'!E91</f>
        <v>23924.14823739705</v>
      </c>
      <c r="N11" s="11"/>
      <c r="O11" s="11"/>
      <c r="P11" s="11"/>
    </row>
    <row r="12" spans="2:16" s="10" customFormat="1" ht="12" x14ac:dyDescent="0.3">
      <c r="B12" s="234" t="s">
        <v>91</v>
      </c>
      <c r="C12" s="235"/>
      <c r="D12" s="235"/>
      <c r="E12" s="61" t="s">
        <v>94</v>
      </c>
      <c r="F12" s="9"/>
      <c r="I12" s="11"/>
      <c r="J12" s="11"/>
      <c r="K12" s="11"/>
      <c r="L12" s="11"/>
      <c r="M12" s="11"/>
      <c r="N12" s="11"/>
      <c r="O12" s="11"/>
      <c r="P12" s="11"/>
    </row>
    <row r="13" spans="2:16" ht="14.25" customHeight="1" thickBot="1" x14ac:dyDescent="0.35">
      <c r="B13" s="223" t="s">
        <v>226</v>
      </c>
      <c r="C13" s="224"/>
      <c r="D13" s="12" t="s">
        <v>12</v>
      </c>
      <c r="E13" s="13">
        <v>5</v>
      </c>
      <c r="F13" s="14"/>
      <c r="H13" s="15"/>
      <c r="I13" s="11"/>
      <c r="J13" s="11"/>
      <c r="K13" s="11"/>
      <c r="L13" s="11"/>
      <c r="M13" s="11"/>
      <c r="N13" s="11"/>
      <c r="O13" s="11"/>
      <c r="P13" s="11"/>
    </row>
    <row r="14" spans="2:16" ht="14.25" customHeight="1" thickBot="1" x14ac:dyDescent="0.35">
      <c r="H14" s="11"/>
      <c r="I14" s="11"/>
      <c r="J14" s="11"/>
      <c r="K14" s="11"/>
      <c r="L14" s="11"/>
      <c r="M14" s="11"/>
      <c r="N14" s="11"/>
      <c r="O14" s="11"/>
      <c r="P14" s="11"/>
    </row>
    <row r="15" spans="2:16" ht="14.25" customHeight="1" x14ac:dyDescent="0.3">
      <c r="B15" s="218" t="s">
        <v>13</v>
      </c>
      <c r="C15" s="219"/>
      <c r="D15" s="219"/>
      <c r="E15" s="220"/>
      <c r="H15" s="11"/>
      <c r="I15" s="11"/>
      <c r="J15" s="11"/>
      <c r="K15" s="11"/>
      <c r="L15" s="11"/>
      <c r="M15" s="11"/>
      <c r="N15" s="11"/>
      <c r="O15" s="11"/>
      <c r="P15" s="11"/>
    </row>
    <row r="16" spans="2:16" ht="14.25" customHeight="1" x14ac:dyDescent="0.3">
      <c r="B16" s="16">
        <v>1</v>
      </c>
      <c r="C16" s="225" t="s">
        <v>14</v>
      </c>
      <c r="D16" s="226"/>
      <c r="E16" s="17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14.25" customHeight="1" x14ac:dyDescent="0.3">
      <c r="B17" s="18">
        <v>2</v>
      </c>
      <c r="C17" s="227" t="s">
        <v>15</v>
      </c>
      <c r="D17" s="228"/>
      <c r="E17" s="17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14.25" customHeight="1" x14ac:dyDescent="0.3">
      <c r="B18" s="18">
        <v>3</v>
      </c>
      <c r="C18" s="227" t="s">
        <v>16</v>
      </c>
      <c r="D18" s="228"/>
      <c r="E18" s="17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14.25" customHeight="1" thickBot="1" x14ac:dyDescent="0.35">
      <c r="B19" s="19">
        <v>4</v>
      </c>
      <c r="C19" s="229" t="s">
        <v>17</v>
      </c>
      <c r="D19" s="230"/>
      <c r="E19" s="55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4.25" customHeight="1" thickBot="1" x14ac:dyDescent="0.35"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4.25" customHeight="1" x14ac:dyDescent="0.3">
      <c r="B21" s="231" t="s">
        <v>18</v>
      </c>
      <c r="C21" s="232"/>
      <c r="D21" s="232"/>
      <c r="E21" s="233"/>
      <c r="F21" s="20"/>
      <c r="H21" s="11"/>
      <c r="I21" s="11"/>
      <c r="J21" s="11"/>
      <c r="K21" s="11"/>
      <c r="L21" s="11"/>
      <c r="M21" s="11">
        <f>'11'!E91</f>
        <v>16655.190792319532</v>
      </c>
      <c r="N21" s="11"/>
      <c r="O21" s="11"/>
      <c r="P21" s="11"/>
    </row>
    <row r="22" spans="1:16" ht="14.25" customHeight="1" x14ac:dyDescent="0.3">
      <c r="B22" s="21" t="s">
        <v>19</v>
      </c>
      <c r="C22" s="22"/>
      <c r="D22" s="23"/>
      <c r="E22" s="17">
        <v>13905.73</v>
      </c>
      <c r="F22" s="24"/>
      <c r="H22" s="34"/>
      <c r="I22" s="34"/>
      <c r="J22" s="11"/>
      <c r="K22" s="11"/>
      <c r="L22" s="11"/>
      <c r="M22" s="11"/>
      <c r="N22" s="11"/>
      <c r="O22" s="11"/>
      <c r="P22" s="11"/>
    </row>
    <row r="23" spans="1:16" ht="14.25" customHeight="1" x14ac:dyDescent="0.3">
      <c r="B23" s="25" t="s">
        <v>74</v>
      </c>
      <c r="C23" s="26"/>
      <c r="D23" s="27"/>
      <c r="E23" s="17"/>
      <c r="F23" s="24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14.25" customHeight="1" x14ac:dyDescent="0.3">
      <c r="B24" s="25" t="s">
        <v>20</v>
      </c>
      <c r="C24" s="26"/>
      <c r="D24" s="27"/>
      <c r="E24" s="17"/>
      <c r="F24" s="24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14.25" customHeight="1" thickBot="1" x14ac:dyDescent="0.35">
      <c r="B25" s="191" t="s">
        <v>21</v>
      </c>
      <c r="C25" s="192"/>
      <c r="D25" s="193"/>
      <c r="E25" s="28">
        <v>13905.73</v>
      </c>
      <c r="F25" s="29"/>
      <c r="H25" s="11"/>
      <c r="I25" s="11"/>
      <c r="J25" s="11"/>
      <c r="K25" s="11"/>
      <c r="L25" s="11"/>
      <c r="M25" s="11"/>
      <c r="N25" s="11"/>
      <c r="O25" s="11"/>
      <c r="P25" s="11"/>
    </row>
    <row r="26" spans="1:16" ht="14.25" customHeight="1" thickBot="1" x14ac:dyDescent="0.35"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14.25" customHeight="1" thickBot="1" x14ac:dyDescent="0.35">
      <c r="B27" s="194" t="s">
        <v>22</v>
      </c>
      <c r="C27" s="195"/>
      <c r="D27" s="195"/>
      <c r="E27" s="196"/>
      <c r="F27" s="20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14.25" customHeight="1" x14ac:dyDescent="0.3">
      <c r="B28" s="212" t="s">
        <v>23</v>
      </c>
      <c r="C28" s="213"/>
      <c r="D28" s="213"/>
      <c r="E28" s="214"/>
      <c r="H28" s="11"/>
      <c r="I28" s="11"/>
      <c r="J28" s="11"/>
      <c r="K28" s="11"/>
      <c r="L28" s="11"/>
      <c r="M28" s="11"/>
      <c r="N28" s="11"/>
      <c r="O28" s="11"/>
      <c r="P28" s="11"/>
    </row>
    <row r="29" spans="1:16" ht="14.25" customHeight="1" x14ac:dyDescent="0.3">
      <c r="A29" s="2" t="s">
        <v>24</v>
      </c>
      <c r="B29" s="21" t="s">
        <v>25</v>
      </c>
      <c r="C29" s="22"/>
      <c r="D29" s="30">
        <v>8.3299999999999999E-2</v>
      </c>
      <c r="E29" s="57">
        <f>D29*E22</f>
        <v>1158.347309</v>
      </c>
      <c r="F29" s="32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14.25" customHeight="1" x14ac:dyDescent="0.3">
      <c r="A30" s="2" t="s">
        <v>26</v>
      </c>
      <c r="B30" s="21" t="s">
        <v>27</v>
      </c>
      <c r="C30" s="22"/>
      <c r="D30" s="30">
        <v>0.121</v>
      </c>
      <c r="E30" s="57">
        <f>D30*E25</f>
        <v>1682.5933299999999</v>
      </c>
      <c r="F30" s="32"/>
      <c r="H30" s="11"/>
      <c r="I30" s="34"/>
      <c r="J30" s="11"/>
      <c r="K30" s="11"/>
      <c r="L30" s="11"/>
      <c r="M30" s="11"/>
      <c r="N30" s="11"/>
      <c r="O30" s="11"/>
      <c r="P30" s="11"/>
    </row>
    <row r="31" spans="1:16" ht="14.25" customHeight="1" thickBot="1" x14ac:dyDescent="0.35">
      <c r="B31" s="93" t="s">
        <v>163</v>
      </c>
      <c r="C31" s="94"/>
      <c r="D31" s="163">
        <f>D29+D30</f>
        <v>0.20429999999999998</v>
      </c>
      <c r="E31" s="33">
        <f>SUM(E29:E30)</f>
        <v>2840.9406389999999</v>
      </c>
      <c r="F31" s="29"/>
      <c r="H31" s="11"/>
      <c r="I31" s="11"/>
      <c r="J31" s="11"/>
      <c r="K31" s="11"/>
      <c r="L31" s="11"/>
      <c r="M31" s="11"/>
      <c r="N31" s="11"/>
      <c r="O31" s="11"/>
      <c r="P31" s="11"/>
    </row>
    <row r="32" spans="1:16" ht="14.25" customHeight="1" x14ac:dyDescent="0.3">
      <c r="B32" s="21" t="s">
        <v>250</v>
      </c>
      <c r="C32" s="22"/>
      <c r="D32" s="95">
        <f>D43*D31</f>
        <v>4.0451890319999996E-2</v>
      </c>
      <c r="E32" s="57">
        <f>D32*E25</f>
        <v>562.51306477953358</v>
      </c>
      <c r="F32" s="29"/>
      <c r="H32" s="11"/>
      <c r="I32" s="11"/>
      <c r="J32" s="11"/>
      <c r="K32" s="11"/>
      <c r="L32" s="11"/>
      <c r="M32" s="11"/>
      <c r="N32" s="11"/>
      <c r="O32" s="11"/>
      <c r="P32" s="11"/>
    </row>
    <row r="33" spans="1:16" ht="14.25" customHeight="1" thickBot="1" x14ac:dyDescent="0.35">
      <c r="B33" s="93" t="s">
        <v>28</v>
      </c>
      <c r="C33" s="94"/>
      <c r="D33" s="97">
        <f>SUM(D31+D32)</f>
        <v>0.24475189031999997</v>
      </c>
      <c r="E33" s="33">
        <f>SUM(E31:E32)</f>
        <v>3403.4537037795335</v>
      </c>
      <c r="F33" s="29"/>
      <c r="H33" s="34"/>
      <c r="I33" s="11"/>
      <c r="J33" s="11"/>
      <c r="K33" s="11"/>
      <c r="L33" s="11"/>
      <c r="M33" s="11"/>
      <c r="N33" s="11"/>
      <c r="O33" s="11"/>
      <c r="P33" s="11"/>
    </row>
    <row r="34" spans="1:16" ht="14.25" customHeight="1" x14ac:dyDescent="0.3">
      <c r="B34" s="212" t="s">
        <v>29</v>
      </c>
      <c r="C34" s="213"/>
      <c r="D34" s="213"/>
      <c r="E34" s="214"/>
      <c r="H34" s="11"/>
      <c r="I34" s="11"/>
      <c r="J34" s="11"/>
      <c r="K34" s="11"/>
      <c r="L34" s="11"/>
      <c r="M34" s="11"/>
      <c r="N34" s="11"/>
      <c r="O34" s="11"/>
      <c r="P34" s="11"/>
    </row>
    <row r="35" spans="1:16" ht="14.25" customHeight="1" x14ac:dyDescent="0.3">
      <c r="A35" s="2" t="s">
        <v>24</v>
      </c>
      <c r="B35" s="21" t="s">
        <v>30</v>
      </c>
      <c r="C35" s="22"/>
      <c r="D35" s="30">
        <v>0.05</v>
      </c>
      <c r="E35" s="57">
        <f>D35*E$25</f>
        <v>695.28650000000005</v>
      </c>
      <c r="F35" s="32"/>
      <c r="H35" s="11"/>
      <c r="I35" s="11"/>
      <c r="J35" s="11"/>
      <c r="K35" s="11"/>
      <c r="L35" s="11"/>
      <c r="M35" s="11"/>
      <c r="N35" s="11"/>
      <c r="O35" s="11"/>
      <c r="P35" s="11"/>
    </row>
    <row r="36" spans="1:16" ht="14.25" customHeight="1" x14ac:dyDescent="0.3">
      <c r="A36" s="2" t="s">
        <v>26</v>
      </c>
      <c r="B36" s="21" t="s">
        <v>31</v>
      </c>
      <c r="C36" s="22"/>
      <c r="D36" s="30">
        <v>2.5002400000000001E-2</v>
      </c>
      <c r="E36" s="57">
        <f>ROUND(D36*E$25,2)</f>
        <v>347.68</v>
      </c>
      <c r="F36" s="32"/>
      <c r="H36" s="34"/>
      <c r="I36" s="11"/>
      <c r="J36" s="11"/>
      <c r="K36" s="11"/>
      <c r="L36" s="11"/>
      <c r="M36" s="11"/>
      <c r="N36" s="11"/>
      <c r="O36" s="11"/>
      <c r="P36" s="11"/>
    </row>
    <row r="37" spans="1:16" ht="14.25" customHeight="1" x14ac:dyDescent="0.3">
      <c r="A37" s="2" t="s">
        <v>32</v>
      </c>
      <c r="B37" s="21" t="s">
        <v>33</v>
      </c>
      <c r="C37" s="22"/>
      <c r="D37" s="35">
        <v>0.01</v>
      </c>
      <c r="E37" s="57">
        <f t="shared" ref="E37:E42" si="0">D37*E$25</f>
        <v>139.0573</v>
      </c>
      <c r="F37" s="32"/>
      <c r="H37" s="11"/>
      <c r="I37" s="11"/>
      <c r="J37" s="11"/>
      <c r="K37" s="11"/>
      <c r="L37" s="11"/>
      <c r="M37" s="11"/>
      <c r="N37" s="11"/>
      <c r="O37" s="11"/>
      <c r="P37" s="11"/>
    </row>
    <row r="38" spans="1:16" ht="14.25" customHeight="1" x14ac:dyDescent="0.3">
      <c r="A38" s="2" t="s">
        <v>34</v>
      </c>
      <c r="B38" s="21" t="s">
        <v>35</v>
      </c>
      <c r="C38" s="22"/>
      <c r="D38" s="30">
        <v>1.4999999999999999E-2</v>
      </c>
      <c r="E38" s="57">
        <f t="shared" si="0"/>
        <v>208.58595</v>
      </c>
      <c r="F38" s="32"/>
      <c r="H38" s="11"/>
      <c r="I38" s="11"/>
      <c r="J38" s="11"/>
      <c r="K38" s="11"/>
      <c r="L38" s="11"/>
      <c r="M38" s="11"/>
      <c r="N38" s="11"/>
      <c r="O38" s="11"/>
      <c r="P38" s="11"/>
    </row>
    <row r="39" spans="1:16" ht="14.25" customHeight="1" x14ac:dyDescent="0.3">
      <c r="A39" s="2" t="s">
        <v>36</v>
      </c>
      <c r="B39" s="21" t="s">
        <v>37</v>
      </c>
      <c r="C39" s="22"/>
      <c r="D39" s="30">
        <v>0.01</v>
      </c>
      <c r="E39" s="57">
        <f t="shared" si="0"/>
        <v>139.0573</v>
      </c>
      <c r="F39" s="32"/>
      <c r="H39" s="11"/>
      <c r="I39" s="11"/>
      <c r="J39" s="11"/>
      <c r="K39" s="11"/>
      <c r="L39" s="11"/>
      <c r="M39" s="11"/>
      <c r="N39" s="11"/>
      <c r="O39" s="11"/>
      <c r="P39" s="11"/>
    </row>
    <row r="40" spans="1:16" ht="14.25" customHeight="1" x14ac:dyDescent="0.3">
      <c r="A40" s="2" t="s">
        <v>38</v>
      </c>
      <c r="B40" s="21" t="s">
        <v>39</v>
      </c>
      <c r="C40" s="22"/>
      <c r="D40" s="30">
        <v>6.0000000000000001E-3</v>
      </c>
      <c r="E40" s="57">
        <f t="shared" si="0"/>
        <v>83.434380000000004</v>
      </c>
      <c r="F40" s="32"/>
      <c r="H40" s="11"/>
      <c r="I40" s="11"/>
      <c r="J40" s="11"/>
      <c r="K40" s="11"/>
      <c r="L40" s="11"/>
      <c r="M40" s="11"/>
      <c r="N40" s="11"/>
      <c r="O40" s="11"/>
      <c r="P40" s="11"/>
    </row>
    <row r="41" spans="1:16" ht="14.25" customHeight="1" x14ac:dyDescent="0.3">
      <c r="A41" s="2" t="s">
        <v>40</v>
      </c>
      <c r="B41" s="21" t="s">
        <v>41</v>
      </c>
      <c r="C41" s="22"/>
      <c r="D41" s="36">
        <v>2E-3</v>
      </c>
      <c r="E41" s="57">
        <f t="shared" si="0"/>
        <v>27.81146</v>
      </c>
      <c r="F41" s="32"/>
      <c r="H41" s="11"/>
      <c r="I41" s="11"/>
      <c r="J41" s="11"/>
      <c r="K41" s="11"/>
      <c r="L41" s="11"/>
      <c r="M41" s="11"/>
      <c r="N41" s="11"/>
      <c r="O41" s="11"/>
      <c r="P41" s="11"/>
    </row>
    <row r="42" spans="1:16" ht="14.25" customHeight="1" x14ac:dyDescent="0.3">
      <c r="A42" s="2" t="s">
        <v>42</v>
      </c>
      <c r="B42" s="21" t="s">
        <v>43</v>
      </c>
      <c r="C42" s="22"/>
      <c r="D42" s="30">
        <v>0.08</v>
      </c>
      <c r="E42" s="57">
        <f t="shared" si="0"/>
        <v>1112.4584</v>
      </c>
      <c r="F42" s="32"/>
      <c r="H42" s="245"/>
      <c r="I42" s="246">
        <v>22</v>
      </c>
      <c r="J42" s="11"/>
      <c r="K42" s="11"/>
      <c r="L42" s="11"/>
      <c r="M42" s="11"/>
      <c r="N42" s="11"/>
      <c r="O42" s="11"/>
      <c r="P42" s="11"/>
    </row>
    <row r="43" spans="1:16" ht="14.25" customHeight="1" thickBot="1" x14ac:dyDescent="0.35">
      <c r="B43" s="215" t="s">
        <v>44</v>
      </c>
      <c r="C43" s="216"/>
      <c r="D43" s="37">
        <f>SUM(D35:D42)</f>
        <v>0.1980024</v>
      </c>
      <c r="E43" s="33">
        <f>SUM(E35:E42)</f>
        <v>2753.3712899999996</v>
      </c>
      <c r="F43" s="29"/>
      <c r="H43" s="245"/>
      <c r="I43" s="246"/>
      <c r="J43" s="34">
        <f>E43-H43</f>
        <v>2753.3712899999996</v>
      </c>
      <c r="K43" s="11"/>
      <c r="L43" s="11"/>
      <c r="M43" s="11"/>
      <c r="N43" s="11"/>
      <c r="O43" s="11"/>
      <c r="P43" s="11"/>
    </row>
    <row r="44" spans="1:16" ht="14.25" customHeight="1" x14ac:dyDescent="0.3">
      <c r="B44" s="212" t="s">
        <v>45</v>
      </c>
      <c r="C44" s="213"/>
      <c r="D44" s="213"/>
      <c r="E44" s="214"/>
      <c r="H44" s="245"/>
      <c r="I44" s="246"/>
      <c r="J44" s="11"/>
      <c r="K44" s="11"/>
      <c r="L44" s="11"/>
      <c r="M44" s="11"/>
      <c r="N44" s="11"/>
      <c r="O44" s="11"/>
      <c r="P44" s="11"/>
    </row>
    <row r="45" spans="1:16" ht="14.25" customHeight="1" x14ac:dyDescent="0.3">
      <c r="A45" s="2" t="s">
        <v>24</v>
      </c>
      <c r="B45" s="201" t="s">
        <v>46</v>
      </c>
      <c r="C45" s="202"/>
      <c r="D45" s="203"/>
      <c r="E45" s="57">
        <v>0</v>
      </c>
      <c r="F45" s="32"/>
      <c r="H45" s="38"/>
      <c r="I45" s="39">
        <v>5.5</v>
      </c>
      <c r="J45" s="11"/>
      <c r="K45" s="11"/>
      <c r="L45" s="11"/>
      <c r="M45" s="11"/>
      <c r="N45" s="11"/>
      <c r="O45" s="11"/>
      <c r="P45" s="11"/>
    </row>
    <row r="46" spans="1:16" ht="14.25" customHeight="1" x14ac:dyDescent="0.3">
      <c r="A46" s="2" t="s">
        <v>26</v>
      </c>
      <c r="B46" s="201" t="s">
        <v>47</v>
      </c>
      <c r="C46" s="202"/>
      <c r="D46" s="203"/>
      <c r="E46" s="57">
        <v>589.77599999999995</v>
      </c>
      <c r="F46" s="32"/>
      <c r="H46" s="38"/>
      <c r="I46" s="41"/>
      <c r="J46" s="11"/>
      <c r="K46" s="11"/>
      <c r="L46" s="70"/>
      <c r="M46" s="11"/>
      <c r="N46" s="11"/>
      <c r="O46" s="11"/>
      <c r="P46" s="11"/>
    </row>
    <row r="47" spans="1:16" ht="14.25" customHeight="1" x14ac:dyDescent="0.3">
      <c r="A47" s="2" t="s">
        <v>32</v>
      </c>
      <c r="B47" s="21" t="s">
        <v>48</v>
      </c>
      <c r="C47" s="22"/>
      <c r="D47" s="40"/>
      <c r="E47" s="57">
        <v>165</v>
      </c>
      <c r="F47" s="32"/>
      <c r="H47" s="38"/>
      <c r="I47" s="41"/>
      <c r="J47" s="11"/>
      <c r="K47" s="11"/>
      <c r="L47" s="11"/>
      <c r="M47" s="11"/>
      <c r="N47" s="11"/>
      <c r="O47" s="11"/>
      <c r="P47" s="11"/>
    </row>
    <row r="48" spans="1:16" ht="14.25" customHeight="1" x14ac:dyDescent="0.3">
      <c r="A48" s="2" t="s">
        <v>34</v>
      </c>
      <c r="B48" s="201" t="s">
        <v>20</v>
      </c>
      <c r="C48" s="202"/>
      <c r="D48" s="203"/>
      <c r="E48" s="31"/>
      <c r="F48" s="32"/>
      <c r="H48" s="38"/>
      <c r="I48" s="58"/>
      <c r="J48" s="11"/>
      <c r="K48" s="11"/>
      <c r="L48" s="11"/>
      <c r="M48" s="11"/>
      <c r="N48" s="11"/>
      <c r="O48" s="11"/>
      <c r="P48" s="11"/>
    </row>
    <row r="49" spans="1:17" ht="14.25" customHeight="1" thickBot="1" x14ac:dyDescent="0.35">
      <c r="B49" s="215" t="s">
        <v>49</v>
      </c>
      <c r="C49" s="217"/>
      <c r="D49" s="216">
        <v>0</v>
      </c>
      <c r="E49" s="33">
        <f>SUM(E45:E47)</f>
        <v>754.77599999999995</v>
      </c>
      <c r="F49" s="29"/>
      <c r="H49" s="38"/>
      <c r="I49" s="41"/>
      <c r="J49" s="11"/>
      <c r="K49" s="11"/>
      <c r="L49" s="11"/>
      <c r="M49" s="11"/>
      <c r="N49" s="11"/>
      <c r="O49" s="11"/>
      <c r="P49" s="11"/>
    </row>
    <row r="50" spans="1:17" ht="14.25" customHeight="1" thickBot="1" x14ac:dyDescent="0.35">
      <c r="B50" s="191" t="s">
        <v>50</v>
      </c>
      <c r="C50" s="192"/>
      <c r="D50" s="193"/>
      <c r="E50" s="28">
        <f>E43+E33+E49</f>
        <v>6911.6009937795334</v>
      </c>
      <c r="F50" s="29"/>
      <c r="H50" s="38"/>
      <c r="I50" s="41"/>
      <c r="J50" s="11"/>
      <c r="K50" s="11"/>
      <c r="L50" s="11"/>
      <c r="M50" s="11"/>
      <c r="N50" s="11"/>
      <c r="O50" s="11"/>
      <c r="P50" s="11"/>
    </row>
    <row r="51" spans="1:17" ht="14.25" customHeight="1" thickBot="1" x14ac:dyDescent="0.35">
      <c r="H51" s="38"/>
      <c r="I51" s="41"/>
      <c r="J51" s="11"/>
      <c r="K51" s="11"/>
      <c r="L51" s="11"/>
      <c r="M51" s="11"/>
      <c r="N51" s="11"/>
      <c r="O51" s="11"/>
      <c r="P51" s="11"/>
    </row>
    <row r="52" spans="1:17" ht="14.25" customHeight="1" thickBot="1" x14ac:dyDescent="0.35">
      <c r="B52" s="194" t="s">
        <v>51</v>
      </c>
      <c r="C52" s="195"/>
      <c r="D52" s="195"/>
      <c r="E52" s="196"/>
      <c r="F52" s="20"/>
      <c r="H52" s="38"/>
      <c r="I52" s="41"/>
      <c r="J52" s="11"/>
      <c r="K52" s="11"/>
      <c r="L52" s="11"/>
      <c r="M52" s="11"/>
      <c r="N52" s="11"/>
      <c r="O52" s="11"/>
      <c r="P52" s="11"/>
    </row>
    <row r="53" spans="1:17" ht="14.25" customHeight="1" x14ac:dyDescent="0.3">
      <c r="A53" s="2" t="s">
        <v>24</v>
      </c>
      <c r="B53" s="21" t="s">
        <v>52</v>
      </c>
      <c r="C53" s="21"/>
      <c r="D53" s="30">
        <v>4.2119999999999996E-3</v>
      </c>
      <c r="E53" s="57">
        <f t="shared" ref="E53:E58" si="1">D53*E$25</f>
        <v>58.570934759999993</v>
      </c>
      <c r="F53" s="32"/>
      <c r="H53" s="245" t="s">
        <v>53</v>
      </c>
      <c r="I53" s="247">
        <v>5.5500000000000001E-2</v>
      </c>
      <c r="J53" s="11"/>
      <c r="K53" s="11"/>
      <c r="L53" s="11"/>
      <c r="M53" s="11"/>
      <c r="N53" s="11"/>
      <c r="O53" s="11"/>
      <c r="P53" s="11"/>
    </row>
    <row r="54" spans="1:17" ht="14.25" customHeight="1" x14ac:dyDescent="0.3">
      <c r="A54" s="2" t="s">
        <v>26</v>
      </c>
      <c r="B54" s="21" t="s">
        <v>54</v>
      </c>
      <c r="C54" s="21"/>
      <c r="D54" s="30">
        <v>3.3695999999999997E-4</v>
      </c>
      <c r="E54" s="57">
        <f t="shared" si="1"/>
        <v>4.6856747807999994</v>
      </c>
      <c r="F54" s="32"/>
      <c r="H54" s="245"/>
      <c r="I54" s="247"/>
      <c r="J54" s="11">
        <v>8.33</v>
      </c>
      <c r="K54" s="11">
        <f>J54/12</f>
        <v>0.69416666666666671</v>
      </c>
      <c r="L54" s="11"/>
      <c r="M54" s="11"/>
      <c r="N54" s="11"/>
      <c r="O54" s="11"/>
      <c r="P54" s="11"/>
    </row>
    <row r="55" spans="1:17" ht="14.25" customHeight="1" x14ac:dyDescent="0.3">
      <c r="A55" s="2" t="s">
        <v>32</v>
      </c>
      <c r="B55" s="21" t="s">
        <v>55</v>
      </c>
      <c r="C55" s="21"/>
      <c r="D55" s="30">
        <v>0.02</v>
      </c>
      <c r="E55" s="57">
        <f t="shared" si="1"/>
        <v>278.1146</v>
      </c>
      <c r="F55" s="32"/>
      <c r="H55" s="245" t="s">
        <v>56</v>
      </c>
      <c r="I55" s="246">
        <v>0.9</v>
      </c>
      <c r="J55" s="11">
        <v>2.78</v>
      </c>
      <c r="K55" s="11">
        <f>J55/12</f>
        <v>0.23166666666666666</v>
      </c>
      <c r="L55" s="11"/>
      <c r="M55" s="105"/>
      <c r="N55" s="11"/>
      <c r="O55" s="11"/>
      <c r="P55" s="11"/>
      <c r="Q55" s="104"/>
    </row>
    <row r="56" spans="1:17" ht="14.25" customHeight="1" x14ac:dyDescent="0.3">
      <c r="A56" s="2" t="s">
        <v>34</v>
      </c>
      <c r="B56" s="21" t="s">
        <v>57</v>
      </c>
      <c r="C56" s="21"/>
      <c r="D56" s="30">
        <v>1.9444444444444445E-2</v>
      </c>
      <c r="E56" s="57">
        <f t="shared" si="1"/>
        <v>270.38919444444446</v>
      </c>
      <c r="F56" s="32"/>
      <c r="H56" s="245"/>
      <c r="I56" s="246"/>
      <c r="J56" s="11"/>
      <c r="K56" s="11">
        <f>ROUND(SUM(K54:K55),2)</f>
        <v>0.93</v>
      </c>
      <c r="L56" s="11"/>
      <c r="M56" s="11"/>
      <c r="N56" s="11"/>
      <c r="O56" s="11"/>
      <c r="P56" s="11"/>
    </row>
    <row r="57" spans="1:17" ht="14.25" customHeight="1" x14ac:dyDescent="0.3">
      <c r="A57" s="2" t="s">
        <v>36</v>
      </c>
      <c r="B57" s="21" t="s">
        <v>58</v>
      </c>
      <c r="C57" s="22"/>
      <c r="D57" s="30">
        <v>2.8778244444444445E-3</v>
      </c>
      <c r="E57" s="57">
        <f t="shared" si="1"/>
        <v>40.018249711844447</v>
      </c>
      <c r="F57" s="32"/>
      <c r="H57" s="245"/>
      <c r="I57" s="246"/>
      <c r="J57" s="11"/>
      <c r="K57" s="11"/>
      <c r="L57" s="11"/>
      <c r="M57" s="11"/>
      <c r="N57" s="11"/>
      <c r="O57" s="11"/>
      <c r="P57" s="11"/>
    </row>
    <row r="58" spans="1:17" ht="14.25" customHeight="1" x14ac:dyDescent="0.3">
      <c r="A58" s="2" t="s">
        <v>38</v>
      </c>
      <c r="B58" s="21" t="s">
        <v>59</v>
      </c>
      <c r="C58" s="21"/>
      <c r="D58" s="30">
        <v>0.02</v>
      </c>
      <c r="E58" s="57">
        <f t="shared" si="1"/>
        <v>278.1146</v>
      </c>
      <c r="F58" s="32"/>
      <c r="H58" s="38"/>
      <c r="I58" s="38"/>
      <c r="J58" s="11"/>
      <c r="K58" s="11"/>
      <c r="L58" s="11"/>
      <c r="M58" s="11"/>
      <c r="N58" s="11"/>
      <c r="O58" s="11"/>
      <c r="P58" s="11"/>
    </row>
    <row r="59" spans="1:17" ht="14.25" customHeight="1" thickBot="1" x14ac:dyDescent="0.35">
      <c r="B59" s="191" t="s">
        <v>60</v>
      </c>
      <c r="C59" s="192"/>
      <c r="D59" s="193"/>
      <c r="E59" s="28">
        <f>SUM(E53:E58)</f>
        <v>929.89325369708888</v>
      </c>
      <c r="F59" s="29"/>
      <c r="H59" s="38"/>
      <c r="I59" s="38"/>
      <c r="J59" s="11"/>
      <c r="K59" s="11"/>
      <c r="L59" s="11"/>
      <c r="M59" s="11"/>
      <c r="N59" s="11"/>
      <c r="O59" s="11"/>
      <c r="P59" s="11"/>
    </row>
    <row r="60" spans="1:17" ht="14.25" customHeight="1" thickBot="1" x14ac:dyDescent="0.35">
      <c r="H60" s="38"/>
      <c r="I60" s="38"/>
      <c r="J60" s="11"/>
      <c r="K60" s="11"/>
      <c r="L60" s="11"/>
      <c r="M60" s="11"/>
      <c r="N60" s="11"/>
      <c r="O60" s="11"/>
      <c r="P60" s="11"/>
    </row>
    <row r="61" spans="1:17" ht="14.25" customHeight="1" x14ac:dyDescent="0.3">
      <c r="B61" s="204" t="s">
        <v>75</v>
      </c>
      <c r="C61" s="205"/>
      <c r="D61" s="205"/>
      <c r="E61" s="206"/>
      <c r="F61" s="20"/>
      <c r="H61" s="38"/>
      <c r="I61" s="38"/>
      <c r="J61" s="11"/>
      <c r="K61" s="11"/>
      <c r="L61" s="11"/>
      <c r="M61" s="11"/>
      <c r="N61" s="11"/>
      <c r="O61" s="11"/>
      <c r="P61" s="11"/>
    </row>
    <row r="62" spans="1:17" ht="14.25" customHeight="1" x14ac:dyDescent="0.3">
      <c r="B62" s="207"/>
      <c r="C62" s="208"/>
      <c r="D62" s="208"/>
      <c r="E62" s="209"/>
      <c r="H62" s="11"/>
      <c r="I62" s="11"/>
      <c r="J62" s="11"/>
      <c r="K62" s="11"/>
      <c r="L62" s="11"/>
      <c r="M62" s="11"/>
      <c r="N62" s="11"/>
      <c r="O62" s="11"/>
      <c r="P62" s="11"/>
    </row>
    <row r="63" spans="1:17" ht="14.25" customHeight="1" x14ac:dyDescent="0.3">
      <c r="A63" s="2" t="s">
        <v>24</v>
      </c>
      <c r="B63" s="201" t="s">
        <v>76</v>
      </c>
      <c r="C63" s="203"/>
      <c r="D63" s="30">
        <v>9.2999999999999992E-3</v>
      </c>
      <c r="E63" s="57">
        <f t="shared" ref="E63:E68" si="2">D63*E$25</f>
        <v>129.32328899999999</v>
      </c>
      <c r="F63" s="32"/>
      <c r="H63" s="38"/>
      <c r="I63" s="38"/>
      <c r="J63" s="11"/>
      <c r="K63" s="11"/>
      <c r="L63" s="11"/>
      <c r="M63" s="11"/>
      <c r="N63" s="11"/>
      <c r="O63" s="11"/>
      <c r="P63" s="11"/>
    </row>
    <row r="64" spans="1:17" ht="14.25" customHeight="1" x14ac:dyDescent="0.3">
      <c r="A64" s="2" t="s">
        <v>26</v>
      </c>
      <c r="B64" s="101" t="s">
        <v>77</v>
      </c>
      <c r="C64" s="98"/>
      <c r="D64" s="30">
        <v>1.66E-2</v>
      </c>
      <c r="E64" s="57">
        <f t="shared" si="2"/>
        <v>230.83511799999999</v>
      </c>
      <c r="F64" s="32"/>
      <c r="H64" s="38" t="s">
        <v>78</v>
      </c>
      <c r="I64" s="39">
        <v>5.96</v>
      </c>
      <c r="J64" s="11"/>
      <c r="K64" s="11"/>
      <c r="L64" s="11"/>
      <c r="M64" s="78"/>
      <c r="N64" s="11"/>
      <c r="O64" s="11"/>
      <c r="P64" s="11"/>
    </row>
    <row r="65" spans="1:16" ht="14.25" customHeight="1" x14ac:dyDescent="0.3">
      <c r="A65" s="2" t="s">
        <v>32</v>
      </c>
      <c r="B65" s="101" t="s">
        <v>79</v>
      </c>
      <c r="C65" s="98"/>
      <c r="D65" s="30">
        <v>2.0000000000000001E-4</v>
      </c>
      <c r="E65" s="57">
        <f t="shared" si="2"/>
        <v>2.7811460000000001</v>
      </c>
      <c r="F65" s="32"/>
      <c r="H65" s="38" t="s">
        <v>80</v>
      </c>
      <c r="I65" s="42">
        <v>1.4999999999999999E-2</v>
      </c>
      <c r="J65" s="11"/>
      <c r="K65" s="11"/>
      <c r="L65" s="11"/>
      <c r="M65" s="11"/>
      <c r="N65" s="11"/>
      <c r="O65" s="11"/>
      <c r="P65" s="11"/>
    </row>
    <row r="66" spans="1:16" ht="14.25" customHeight="1" x14ac:dyDescent="0.3">
      <c r="A66" s="2" t="s">
        <v>34</v>
      </c>
      <c r="B66" s="101" t="s">
        <v>81</v>
      </c>
      <c r="C66" s="98"/>
      <c r="D66" s="30">
        <v>2.7000000000000001E-3</v>
      </c>
      <c r="E66" s="57">
        <f t="shared" si="2"/>
        <v>37.545470999999999</v>
      </c>
      <c r="F66" s="32"/>
      <c r="H66" s="38" t="s">
        <v>82</v>
      </c>
      <c r="I66" s="42">
        <v>1.8599999999999998E-2</v>
      </c>
      <c r="J66" s="11"/>
      <c r="K66" s="11"/>
      <c r="L66" s="11"/>
      <c r="M66" s="11"/>
      <c r="N66" s="78"/>
      <c r="O66" s="11"/>
      <c r="P66" s="11"/>
    </row>
    <row r="67" spans="1:16" ht="14.25" customHeight="1" x14ac:dyDescent="0.3">
      <c r="A67" s="2" t="s">
        <v>36</v>
      </c>
      <c r="B67" s="101" t="s">
        <v>83</v>
      </c>
      <c r="C67" s="98"/>
      <c r="D67" s="30">
        <v>2.8E-3</v>
      </c>
      <c r="E67" s="57">
        <f t="shared" si="2"/>
        <v>38.936043999999995</v>
      </c>
      <c r="F67" s="32"/>
      <c r="H67" s="245" t="s">
        <v>84</v>
      </c>
      <c r="I67" s="247">
        <v>0.02</v>
      </c>
      <c r="J67" s="11"/>
      <c r="K67" s="105"/>
      <c r="L67" s="11"/>
      <c r="M67" s="11"/>
      <c r="N67" s="11"/>
      <c r="O67" s="11"/>
      <c r="P67" s="11"/>
    </row>
    <row r="68" spans="1:16" ht="14.25" customHeight="1" x14ac:dyDescent="0.3">
      <c r="A68" s="2" t="s">
        <v>38</v>
      </c>
      <c r="B68" s="101" t="s">
        <v>20</v>
      </c>
      <c r="C68" s="98"/>
      <c r="D68" s="30">
        <v>0</v>
      </c>
      <c r="E68" s="57">
        <f t="shared" si="2"/>
        <v>0</v>
      </c>
      <c r="F68" s="32"/>
      <c r="H68" s="245"/>
      <c r="I68" s="247"/>
      <c r="J68" s="11"/>
      <c r="K68" s="11"/>
      <c r="L68" s="11"/>
      <c r="M68" s="11"/>
      <c r="N68" s="11"/>
      <c r="O68" s="11"/>
      <c r="P68" s="11"/>
    </row>
    <row r="69" spans="1:16" ht="14.25" customHeight="1" x14ac:dyDescent="0.3">
      <c r="B69" s="102" t="s">
        <v>164</v>
      </c>
      <c r="C69" s="96"/>
      <c r="D69" s="100">
        <v>0.1056</v>
      </c>
      <c r="E69" s="99">
        <f>SUM(E63:E68)</f>
        <v>439.42106799999999</v>
      </c>
      <c r="F69" s="32"/>
      <c r="H69" s="92"/>
      <c r="I69" s="42"/>
      <c r="J69" s="11"/>
      <c r="K69" s="11"/>
      <c r="L69" s="11"/>
      <c r="M69" s="11"/>
      <c r="N69" s="11"/>
      <c r="O69" s="11"/>
      <c r="P69" s="11"/>
    </row>
    <row r="70" spans="1:16" ht="14.25" customHeight="1" x14ac:dyDescent="0.3">
      <c r="B70" s="201" t="s">
        <v>165</v>
      </c>
      <c r="C70" s="202"/>
      <c r="D70" s="203"/>
      <c r="E70" s="57">
        <f>D43*E69</f>
        <v>87.006426074563194</v>
      </c>
      <c r="F70" s="32"/>
      <c r="H70" s="92"/>
      <c r="I70" s="42"/>
      <c r="J70" s="11"/>
      <c r="K70" s="11"/>
      <c r="L70" s="11"/>
      <c r="M70" s="11"/>
      <c r="N70" s="11"/>
      <c r="O70" s="11"/>
      <c r="P70" s="11"/>
    </row>
    <row r="71" spans="1:16" ht="14.25" customHeight="1" thickBot="1" x14ac:dyDescent="0.35">
      <c r="B71" s="210" t="s">
        <v>86</v>
      </c>
      <c r="C71" s="211"/>
      <c r="D71" s="211"/>
      <c r="E71" s="103">
        <f>SUM(E69:E70)</f>
        <v>526.42749407456313</v>
      </c>
      <c r="F71" s="29"/>
      <c r="H71" s="43"/>
      <c r="I71" s="11"/>
      <c r="J71" s="11"/>
      <c r="K71" s="11"/>
      <c r="L71" s="11"/>
      <c r="M71" s="11"/>
      <c r="N71" s="11"/>
      <c r="O71" s="11"/>
      <c r="P71" s="11"/>
    </row>
    <row r="72" spans="1:16" ht="12.75" customHeight="1" thickBot="1" x14ac:dyDescent="0.35">
      <c r="H72" s="43"/>
      <c r="I72" s="11"/>
      <c r="J72" s="11"/>
      <c r="K72" s="11"/>
      <c r="L72" s="11"/>
      <c r="M72" s="11"/>
      <c r="N72" s="11"/>
      <c r="O72" s="11"/>
      <c r="P72" s="11"/>
    </row>
    <row r="73" spans="1:16" ht="14.25" customHeight="1" thickBot="1" x14ac:dyDescent="0.35">
      <c r="B73" s="194" t="s">
        <v>61</v>
      </c>
      <c r="C73" s="195"/>
      <c r="D73" s="195"/>
      <c r="E73" s="196"/>
      <c r="F73" s="20"/>
      <c r="H73" s="34"/>
      <c r="I73" s="11"/>
      <c r="J73" s="11"/>
      <c r="K73" s="11"/>
      <c r="L73" s="11"/>
      <c r="M73" s="11"/>
      <c r="N73" s="11"/>
      <c r="O73" s="11"/>
      <c r="P73" s="11"/>
    </row>
    <row r="74" spans="1:16" ht="14.25" customHeight="1" x14ac:dyDescent="0.3">
      <c r="A74" s="2" t="s">
        <v>24</v>
      </c>
      <c r="B74" s="201" t="s">
        <v>104</v>
      </c>
      <c r="C74" s="202"/>
      <c r="D74" s="203"/>
      <c r="E74" s="57">
        <v>50</v>
      </c>
      <c r="F74" s="24"/>
      <c r="H74" s="11"/>
      <c r="I74" s="11"/>
      <c r="J74" s="11"/>
      <c r="K74" s="11"/>
      <c r="L74" s="11"/>
      <c r="M74" s="11"/>
      <c r="N74" s="11"/>
      <c r="O74" s="11"/>
      <c r="P74" s="11"/>
    </row>
    <row r="75" spans="1:16" ht="14.25" customHeight="1" x14ac:dyDescent="0.3">
      <c r="A75" s="2" t="s">
        <v>26</v>
      </c>
      <c r="B75" s="25" t="s">
        <v>96</v>
      </c>
      <c r="C75" s="26"/>
      <c r="D75" s="44"/>
      <c r="E75" s="57">
        <v>0</v>
      </c>
      <c r="F75" s="24"/>
      <c r="H75" s="11"/>
      <c r="I75" s="11"/>
      <c r="J75" s="11"/>
      <c r="K75" s="11"/>
      <c r="L75" s="11"/>
      <c r="M75" s="11"/>
      <c r="N75" s="11"/>
      <c r="O75" s="11"/>
      <c r="P75" s="11"/>
    </row>
    <row r="76" spans="1:16" ht="14.25" customHeight="1" x14ac:dyDescent="0.3">
      <c r="A76" s="2" t="s">
        <v>32</v>
      </c>
      <c r="B76" s="25" t="s">
        <v>62</v>
      </c>
      <c r="C76" s="26"/>
      <c r="D76" s="44"/>
      <c r="E76" s="57">
        <v>90</v>
      </c>
      <c r="F76" s="24"/>
      <c r="H76" s="11"/>
      <c r="I76" s="11"/>
      <c r="J76" s="11"/>
      <c r="K76" s="11"/>
      <c r="L76" s="11"/>
      <c r="M76" s="11"/>
      <c r="N76" s="11"/>
      <c r="O76" s="11"/>
      <c r="P76" s="11"/>
    </row>
    <row r="77" spans="1:16" ht="14.25" customHeight="1" x14ac:dyDescent="0.3">
      <c r="B77" s="25" t="s">
        <v>101</v>
      </c>
      <c r="C77" s="26"/>
      <c r="D77" s="44"/>
      <c r="E77" s="57">
        <v>0</v>
      </c>
      <c r="F77" s="24"/>
      <c r="H77" s="11"/>
      <c r="I77" s="11"/>
      <c r="J77" s="11"/>
      <c r="K77" s="11"/>
      <c r="L77" s="11"/>
      <c r="M77" s="11"/>
      <c r="N77" s="11"/>
      <c r="O77" s="11"/>
      <c r="P77" s="11"/>
    </row>
    <row r="78" spans="1:16" ht="14.25" customHeight="1" x14ac:dyDescent="0.3">
      <c r="B78" s="25" t="s">
        <v>97</v>
      </c>
      <c r="C78" s="26"/>
      <c r="D78" s="44"/>
      <c r="E78" s="57">
        <v>0</v>
      </c>
      <c r="F78" s="24"/>
      <c r="H78" s="11"/>
      <c r="I78" s="11"/>
      <c r="J78" s="11"/>
      <c r="K78" s="11"/>
      <c r="L78" s="11"/>
      <c r="M78" s="11"/>
      <c r="N78" s="11"/>
      <c r="O78" s="11"/>
      <c r="P78" s="11"/>
    </row>
    <row r="79" spans="1:16" ht="14.25" customHeight="1" x14ac:dyDescent="0.3">
      <c r="A79" s="2" t="s">
        <v>34</v>
      </c>
      <c r="B79" s="25" t="s">
        <v>166</v>
      </c>
      <c r="C79" s="26"/>
      <c r="D79" s="44"/>
      <c r="E79" s="57">
        <v>0</v>
      </c>
      <c r="F79" s="24"/>
      <c r="H79" s="11"/>
      <c r="I79" s="11"/>
      <c r="J79" s="11"/>
      <c r="L79" s="11"/>
      <c r="M79" s="11"/>
      <c r="N79" s="11"/>
      <c r="O79" s="11"/>
      <c r="P79" s="11"/>
    </row>
    <row r="80" spans="1:16" ht="14.25" customHeight="1" thickBot="1" x14ac:dyDescent="0.35">
      <c r="B80" s="191" t="s">
        <v>63</v>
      </c>
      <c r="C80" s="192"/>
      <c r="D80" s="193"/>
      <c r="E80" s="28">
        <f>SUM(E74:E79)</f>
        <v>140</v>
      </c>
      <c r="F80" s="29"/>
      <c r="H80" s="11"/>
      <c r="I80" s="11"/>
      <c r="J80" s="11"/>
      <c r="L80" s="11"/>
      <c r="M80" s="11"/>
      <c r="N80" s="11"/>
      <c r="O80" s="11"/>
      <c r="P80" s="11"/>
    </row>
    <row r="81" spans="1:16" ht="14.25" customHeight="1" thickBot="1" x14ac:dyDescent="0.35">
      <c r="H81" s="11"/>
      <c r="I81" s="11"/>
      <c r="J81" s="11"/>
      <c r="L81" s="11"/>
      <c r="M81" s="11"/>
      <c r="N81" s="11"/>
      <c r="O81" s="11"/>
      <c r="P81" s="11"/>
    </row>
    <row r="82" spans="1:16" ht="14.25" customHeight="1" thickBot="1" x14ac:dyDescent="0.35">
      <c r="B82" s="194" t="s">
        <v>64</v>
      </c>
      <c r="C82" s="195"/>
      <c r="D82" s="195"/>
      <c r="E82" s="196"/>
      <c r="F82" s="20"/>
      <c r="H82" s="11"/>
      <c r="I82" s="11"/>
      <c r="J82" s="11"/>
      <c r="L82" s="11"/>
      <c r="M82" s="11"/>
      <c r="N82" s="11"/>
      <c r="O82" s="11"/>
      <c r="P82" s="11"/>
    </row>
    <row r="83" spans="1:16" ht="14.25" customHeight="1" x14ac:dyDescent="0.3">
      <c r="A83" s="2" t="s">
        <v>24</v>
      </c>
      <c r="B83" s="45" t="s">
        <v>65</v>
      </c>
      <c r="C83" s="46"/>
      <c r="D83" s="35">
        <f>'1'!D83</f>
        <v>0</v>
      </c>
      <c r="E83" s="57">
        <f>D83*(E80+E71+E59+E50+E25)</f>
        <v>0</v>
      </c>
      <c r="F83" s="32"/>
      <c r="H83" s="11"/>
      <c r="I83" s="161"/>
      <c r="J83" s="11"/>
      <c r="K83" s="54"/>
      <c r="L83" s="11"/>
      <c r="M83" s="11"/>
      <c r="N83" s="11"/>
      <c r="O83" s="34"/>
      <c r="P83" s="11"/>
    </row>
    <row r="84" spans="1:16" ht="14.25" customHeight="1" x14ac:dyDescent="0.3">
      <c r="A84" s="2" t="s">
        <v>26</v>
      </c>
      <c r="B84" s="21" t="s">
        <v>66</v>
      </c>
      <c r="C84" s="22"/>
      <c r="D84" s="35">
        <f>'1'!D84</f>
        <v>-1.3677647119945452E-2</v>
      </c>
      <c r="E84" s="57">
        <f>D84*(E83+E80+E71+E59+E50+E25)</f>
        <v>-306.56601919028793</v>
      </c>
      <c r="F84" s="32"/>
      <c r="H84" s="34"/>
      <c r="I84" s="34"/>
      <c r="J84" s="11"/>
      <c r="K84" s="162"/>
      <c r="L84" s="11"/>
      <c r="M84" s="11"/>
      <c r="N84" s="11"/>
      <c r="O84" s="11"/>
      <c r="P84" s="11"/>
    </row>
    <row r="85" spans="1:16" ht="14.25" customHeight="1" x14ac:dyDescent="0.3">
      <c r="B85" s="21" t="s">
        <v>67</v>
      </c>
      <c r="C85" s="22"/>
      <c r="D85" s="30">
        <v>6.5000000000000006E-3</v>
      </c>
      <c r="E85" s="57">
        <f>D85*(E84+E83+E80+E71+E59+E50+E25)</f>
        <v>143.69605719534584</v>
      </c>
      <c r="F85" s="32"/>
      <c r="H85" s="34"/>
      <c r="I85" s="34"/>
      <c r="J85" s="11"/>
      <c r="L85" s="11"/>
      <c r="M85" s="11"/>
      <c r="N85" s="11"/>
      <c r="O85" s="34"/>
      <c r="P85" s="11"/>
    </row>
    <row r="86" spans="1:16" ht="14.25" customHeight="1" x14ac:dyDescent="0.3">
      <c r="B86" s="47" t="s">
        <v>68</v>
      </c>
      <c r="C86" s="48"/>
      <c r="D86" s="30">
        <v>0.03</v>
      </c>
      <c r="E86" s="57">
        <f>D86*(E83+E85+E84+E80+E71+E59+E50+E25)</f>
        <v>667.52345338668727</v>
      </c>
      <c r="F86" s="32"/>
      <c r="H86" s="11"/>
      <c r="I86" s="11"/>
      <c r="J86" s="11"/>
      <c r="L86" s="11"/>
      <c r="M86" s="11"/>
      <c r="N86" s="11"/>
      <c r="O86" s="34"/>
      <c r="P86" s="11"/>
    </row>
    <row r="87" spans="1:16" ht="14.25" customHeight="1" x14ac:dyDescent="0.3">
      <c r="B87" s="21" t="s">
        <v>69</v>
      </c>
      <c r="C87" s="22"/>
      <c r="D87" s="35">
        <v>0.05</v>
      </c>
      <c r="E87" s="57">
        <f>D87*(E84+E83+E86+E85+E80+E71+E59+E50+E25)</f>
        <v>1145.9152616471465</v>
      </c>
      <c r="F87" s="32"/>
      <c r="H87" s="11"/>
      <c r="I87" s="11"/>
      <c r="J87" s="11"/>
      <c r="L87" s="11"/>
      <c r="M87" s="11"/>
      <c r="N87" s="11"/>
      <c r="O87" s="34"/>
      <c r="P87" s="11"/>
    </row>
    <row r="88" spans="1:16" ht="14.25" customHeight="1" x14ac:dyDescent="0.3">
      <c r="B88" s="25" t="s">
        <v>87</v>
      </c>
      <c r="C88" s="26"/>
      <c r="D88" s="35">
        <v>3.5999999999999997E-2</v>
      </c>
      <c r="E88" s="57">
        <f>D88*(E84+E85+E87+E86+E83+E71+E59+E50+E25)</f>
        <v>861.27193780524271</v>
      </c>
      <c r="F88" s="32"/>
      <c r="H88" s="11"/>
      <c r="I88" s="11"/>
      <c r="J88" s="11"/>
      <c r="L88" s="11"/>
      <c r="M88" s="11"/>
      <c r="N88" s="11"/>
      <c r="O88" s="34"/>
      <c r="P88" s="11"/>
    </row>
    <row r="89" spans="1:16" ht="14.25" customHeight="1" thickBot="1" x14ac:dyDescent="0.35">
      <c r="B89" s="191" t="s">
        <v>70</v>
      </c>
      <c r="C89" s="192"/>
      <c r="D89" s="193"/>
      <c r="E89" s="49">
        <f>SUM(E83:E88)</f>
        <v>2511.8406908441348</v>
      </c>
      <c r="F89" s="29"/>
      <c r="H89" s="11"/>
      <c r="I89" s="11"/>
      <c r="J89" s="11"/>
      <c r="L89" s="11"/>
      <c r="M89" s="11"/>
      <c r="N89" s="11"/>
      <c r="O89" s="34"/>
      <c r="P89" s="11"/>
    </row>
    <row r="90" spans="1:16" ht="14.25" customHeight="1" thickBot="1" x14ac:dyDescent="0.35">
      <c r="H90" s="11"/>
      <c r="I90" s="11"/>
      <c r="L90" s="11"/>
      <c r="M90" s="11"/>
      <c r="N90" s="11"/>
      <c r="O90" s="11"/>
      <c r="P90" s="11"/>
    </row>
    <row r="91" spans="1:16" ht="14.25" customHeight="1" thickBot="1" x14ac:dyDescent="0.35">
      <c r="B91" s="197" t="s">
        <v>71</v>
      </c>
      <c r="C91" s="198"/>
      <c r="D91" s="198"/>
      <c r="E91" s="50">
        <f>SUM(E89+E80+E71+E59+E50+E25)</f>
        <v>24925.49243239532</v>
      </c>
      <c r="F91" s="29"/>
      <c r="H91" s="54"/>
      <c r="J91" s="11"/>
      <c r="L91" s="11"/>
      <c r="M91" s="11"/>
      <c r="N91" s="11"/>
      <c r="O91" s="11"/>
      <c r="P91" s="11"/>
    </row>
    <row r="92" spans="1:16" ht="14.25" customHeight="1" thickBot="1" x14ac:dyDescent="0.35">
      <c r="H92" s="11"/>
      <c r="I92" s="11"/>
    </row>
    <row r="93" spans="1:16" ht="14.25" customHeight="1" thickBot="1" x14ac:dyDescent="0.35">
      <c r="B93" s="199" t="s">
        <v>72</v>
      </c>
      <c r="C93" s="200"/>
      <c r="D93" s="200"/>
      <c r="E93" s="51">
        <f>E91*E13</f>
        <v>124627.4621619766</v>
      </c>
      <c r="F93" s="29"/>
      <c r="H93" s="54"/>
    </row>
    <row r="94" spans="1:16" ht="14.25" customHeight="1" x14ac:dyDescent="0.3">
      <c r="B94" s="10"/>
      <c r="C94" s="10"/>
      <c r="D94" s="52"/>
      <c r="E94" s="9"/>
      <c r="F94" s="53"/>
      <c r="G94" s="53"/>
      <c r="H94" s="53"/>
    </row>
    <row r="95" spans="1:16" ht="14.25" customHeight="1" x14ac:dyDescent="0.3">
      <c r="M95" s="54"/>
    </row>
  </sheetData>
  <mergeCells count="49">
    <mergeCell ref="B93:D93"/>
    <mergeCell ref="B73:E73"/>
    <mergeCell ref="B74:D74"/>
    <mergeCell ref="B80:D80"/>
    <mergeCell ref="B82:E82"/>
    <mergeCell ref="B89:D89"/>
    <mergeCell ref="B91:D91"/>
    <mergeCell ref="B71:D71"/>
    <mergeCell ref="H53:H54"/>
    <mergeCell ref="I53:I54"/>
    <mergeCell ref="H55:H57"/>
    <mergeCell ref="I55:I57"/>
    <mergeCell ref="B59:D59"/>
    <mergeCell ref="B61:E61"/>
    <mergeCell ref="B62:E62"/>
    <mergeCell ref="B63:C63"/>
    <mergeCell ref="H67:H68"/>
    <mergeCell ref="I67:I68"/>
    <mergeCell ref="B70:D70"/>
    <mergeCell ref="B52:E52"/>
    <mergeCell ref="B28:E28"/>
    <mergeCell ref="B34:E34"/>
    <mergeCell ref="H42:H44"/>
    <mergeCell ref="I42:I44"/>
    <mergeCell ref="B43:C43"/>
    <mergeCell ref="B44:E44"/>
    <mergeCell ref="B45:D45"/>
    <mergeCell ref="B46:D46"/>
    <mergeCell ref="B48:D48"/>
    <mergeCell ref="B49:D49"/>
    <mergeCell ref="B50:D50"/>
    <mergeCell ref="B27:E27"/>
    <mergeCell ref="B10:E10"/>
    <mergeCell ref="B11:C11"/>
    <mergeCell ref="B12:D12"/>
    <mergeCell ref="B13:C13"/>
    <mergeCell ref="B15:E15"/>
    <mergeCell ref="C16:D16"/>
    <mergeCell ref="C17:D17"/>
    <mergeCell ref="C18:D18"/>
    <mergeCell ref="C19:D19"/>
    <mergeCell ref="B21:E21"/>
    <mergeCell ref="B25:D25"/>
    <mergeCell ref="B8:D8"/>
    <mergeCell ref="B2:E2"/>
    <mergeCell ref="B4:E4"/>
    <mergeCell ref="B5:D5"/>
    <mergeCell ref="B6:D6"/>
    <mergeCell ref="B7:D7"/>
  </mergeCells>
  <dataValidations disablePrompts="1" count="10">
    <dataValidation allowBlank="1" showInputMessage="1" showErrorMessage="1" errorTitle="Valor inválido" error="Mínimo aceito = 2%_x000a_Máximo aceito = 5%" sqref="D88" xr:uid="{1356AFF2-BF03-4091-B827-A1C344B84D22}"/>
    <dataValidation operator="lessThanOrEqual" showInputMessage="1" errorTitle="Valor inválido" error="Máximo aceito = 5%" sqref="D83" xr:uid="{3C4E6F91-8485-4E4A-863B-787B17B6C822}"/>
    <dataValidation type="decimal" allowBlank="1" showInputMessage="1" showErrorMessage="1" errorTitle="Valor inválido" error="Mínimo aceito = 2%_x000a_Máximo aceito = 5%" sqref="D87" xr:uid="{D924AA46-943F-4DEC-AF20-FF4D2028FBC4}">
      <formula1>0.02</formula1>
      <formula2>0.05</formula2>
    </dataValidation>
    <dataValidation type="decimal" operator="lessThanOrEqual" allowBlank="1" showInputMessage="1" showErrorMessage="1" errorTitle="Valor inválido" error="Máximo aceito = 6%" sqref="D41 D37" xr:uid="{4385071D-033B-4F44-91E2-FCEF81F5D33F}">
      <formula1>0.06</formula1>
    </dataValidation>
    <dataValidation type="decimal" operator="lessThanOrEqual" allowBlank="1" showInputMessage="1" showErrorMessage="1" errorTitle="Valor inválido" error="Deve ser igual ou inferior a 2,00% (Ref.: IBGE)" sqref="I67" xr:uid="{8BA79A19-DC07-41D4-B66D-A872D54676A2}">
      <formula1>0.02</formula1>
    </dataValidation>
    <dataValidation type="decimal" operator="lessThanOrEqual" allowBlank="1" showInputMessage="1" showErrorMessage="1" errorTitle="Valor inválido" error="Deve ser igual ou inferior a 8,00% (Ref.: IBGE)" sqref="I66" xr:uid="{5C4E4730-7333-4120-8616-20BA2601A60C}">
      <formula1>0.08</formula1>
    </dataValidation>
    <dataValidation type="decimal" operator="lessThanOrEqual" allowBlank="1" showInputMessage="1" showErrorMessage="1" errorTitle="Valor inválido" error="Deve ser igual ou inferior a 1,50% (Ref.: IBGE)" sqref="I65" xr:uid="{C768B659-D9C2-4338-A80A-CE40D8513DFE}">
      <formula1>0.015</formula1>
    </dataValidation>
    <dataValidation type="decimal" operator="lessThanOrEqual" allowBlank="1" showInputMessage="1" showErrorMessage="1" errorTitle="Valor inválido" error="Deve ser igual ou inferior a 5,55 (Ref.: TCU)" sqref="I53" xr:uid="{27804CDB-4435-4553-A1A4-403F6FEB1D17}">
      <formula1>0.0555</formula1>
    </dataValidation>
    <dataValidation type="decimal" operator="lessThanOrEqual" allowBlank="1" showInputMessage="1" showErrorMessage="1" errorTitle="Valor inválido" error="Deve ser igual ou inferior a 5,96 (Ref.: IBGE)" sqref="I64" xr:uid="{B6617BFA-0073-457B-A928-8A6DF37D6FEB}">
      <formula1>5.96</formula1>
    </dataValidation>
    <dataValidation type="list" allowBlank="1" showInputMessage="1" showErrorMessage="1" sqref="H13" xr:uid="{5EE1D800-E3CC-43E7-B9BB-B64C7C5ED42B}">
      <formula1>$J$2:$J$3</formula1>
    </dataValidation>
  </dataValidations>
  <pageMargins left="0.511811024" right="0.511811024" top="0.78740157499999996" bottom="0.78740157499999996" header="0.31496062000000002" footer="0.31496062000000002"/>
  <pageSetup paperSize="9" scale="56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3EC151B420BA46A624AA88291178AF" ma:contentTypeVersion="15" ma:contentTypeDescription="Crie um novo documento." ma:contentTypeScope="" ma:versionID="16f5d36ea31b41ac4480796ee5c2c56c">
  <xsd:schema xmlns:xsd="http://www.w3.org/2001/XMLSchema" xmlns:xs="http://www.w3.org/2001/XMLSchema" xmlns:p="http://schemas.microsoft.com/office/2006/metadata/properties" xmlns:ns2="22aa202b-ac53-4115-85bb-fcd720dd491b" xmlns:ns3="7cddc1c3-f392-4d9b-b0c9-fcba6db597f8" targetNamespace="http://schemas.microsoft.com/office/2006/metadata/properties" ma:root="true" ma:fieldsID="1d851997857184bab02da5124f816a9d" ns2:_="" ns3:_="">
    <xsd:import namespace="22aa202b-ac53-4115-85bb-fcd720dd491b"/>
    <xsd:import namespace="7cddc1c3-f392-4d9b-b0c9-fcba6db597f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aa202b-ac53-4115-85bb-fcd720dd49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78ab447a-9a68-4751-8d43-9115d125e902}" ma:internalName="TaxCatchAll" ma:showField="CatchAllData" ma:web="22aa202b-ac53-4115-85bb-fcd720dd491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dc1c3-f392-4d9b-b0c9-fcba6db597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Marcações de imagem" ma:readOnly="false" ma:fieldId="{5cf76f15-5ced-4ddc-b409-7134ff3c332f}" ma:taxonomyMulti="true" ma:sspId="13a63772-bdf9-4230-8c00-775590c051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2aa202b-ac53-4115-85bb-fcd720dd491b" xsi:nil="true"/>
    <lcf76f155ced4ddcb4097134ff3c332f xmlns="7cddc1c3-f392-4d9b-b0c9-fcba6db597f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2BC138-E4B4-4CF8-AC51-A2AA27D40E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aa202b-ac53-4115-85bb-fcd720dd491b"/>
    <ds:schemaRef ds:uri="7cddc1c3-f392-4d9b-b0c9-fcba6db597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CCCD5D-853C-496C-BC09-2E11B23166E9}">
  <ds:schemaRefs>
    <ds:schemaRef ds:uri="http://purl.org/dc/elements/1.1/"/>
    <ds:schemaRef ds:uri="22aa202b-ac53-4115-85bb-fcd720dd491b"/>
    <ds:schemaRef ds:uri="http://www.w3.org/XML/1998/namespace"/>
    <ds:schemaRef ds:uri="http://schemas.microsoft.com/office/2006/metadata/properties"/>
    <ds:schemaRef ds:uri="http://purl.org/dc/dcmitype/"/>
    <ds:schemaRef ds:uri="http://purl.org/dc/terms/"/>
    <ds:schemaRef ds:uri="7cddc1c3-f392-4d9b-b0c9-fcba6db597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7D2A1B6-4002-45B2-A065-AA98001B36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20</vt:i4>
      </vt:variant>
      <vt:variant>
        <vt:lpstr>Intervalos Nomeados</vt:lpstr>
      </vt:variant>
      <vt:variant>
        <vt:i4>13</vt:i4>
      </vt:variant>
    </vt:vector>
  </HeadingPairs>
  <TitlesOfParts>
    <vt:vector size="33" baseType="lpstr">
      <vt:lpstr>Custos</vt:lpstr>
      <vt:lpstr>Mod Por 6432</vt:lpstr>
      <vt:lpstr>Banco Informações</vt:lpstr>
      <vt:lpstr>Proposta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Item 1</vt:lpstr>
      <vt:lpstr>Item 2</vt:lpstr>
      <vt:lpstr>Item 2.1</vt:lpstr>
      <vt:lpstr>Item 3</vt:lpstr>
      <vt:lpstr>Proposta_1</vt:lpstr>
      <vt:lpstr>'1'!Area_de_impressao</vt:lpstr>
      <vt:lpstr>'10'!Area_de_impressao</vt:lpstr>
      <vt:lpstr>'11'!Area_de_impressao</vt:lpstr>
      <vt:lpstr>'2'!Area_de_impressao</vt:lpstr>
      <vt:lpstr>'3'!Area_de_impressao</vt:lpstr>
      <vt:lpstr>'4'!Area_de_impressao</vt:lpstr>
      <vt:lpstr>'5'!Area_de_impressao</vt:lpstr>
      <vt:lpstr>'6'!Area_de_impressao</vt:lpstr>
      <vt:lpstr>'7'!Area_de_impressao</vt:lpstr>
      <vt:lpstr>'8'!Area_de_impressao</vt:lpstr>
      <vt:lpstr>'9'!Area_de_impressao</vt:lpstr>
      <vt:lpstr>Proposta!Area_de_impressao</vt:lpstr>
      <vt:lpstr>Proposta_1!Area_de_impressao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Weiprecht</dc:creator>
  <cp:lastModifiedBy>Eliezer Santos Da Silva</cp:lastModifiedBy>
  <cp:lastPrinted>2024-08-30T18:24:36Z</cp:lastPrinted>
  <dcterms:created xsi:type="dcterms:W3CDTF">2020-03-16T18:57:30Z</dcterms:created>
  <dcterms:modified xsi:type="dcterms:W3CDTF">2025-01-06T19:54:04Z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0x010100563EC151B420BA46A624AA88291178AF</vt:lpwstr>
  </property>
  <property fmtid="{D5CDD505-2E9C-101B-9397-08002B2CF9AE}" pid="3" name="MediaServiceImageTags">
    <vt:lpwstr/>
  </property>
</Properties>
</file>